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 filterPrivacy="1" codeName="ThisWorkbook"/>
  <xr:revisionPtr revIDLastSave="0" documentId="13_ncr:1_{061E4CEB-5838-485E-AE48-A60D5C133B75}" xr6:coauthVersionLast="47" xr6:coauthVersionMax="47" xr10:uidLastSave="{00000000-0000-0000-0000-000000000000}"/>
  <bookViews>
    <workbookView xWindow="50440" yWindow="2140" windowWidth="28800" windowHeight="15370" activeTab="1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D20" i="6" l="1"/>
  <c r="DC20" i="6"/>
  <c r="DB20" i="6"/>
  <c r="DA20" i="6"/>
  <c r="CZ20" i="6"/>
  <c r="DD17" i="6"/>
  <c r="DC17" i="6"/>
  <c r="DB17" i="6"/>
  <c r="DA17" i="6"/>
  <c r="CZ17" i="6"/>
  <c r="BT17" i="6"/>
  <c r="BV17" i="6"/>
  <c r="BU17" i="6"/>
  <c r="BV20" i="6"/>
  <c r="BU20" i="6"/>
  <c r="BS29" i="6"/>
  <c r="BS55" i="6"/>
  <c r="BS54" i="6"/>
  <c r="BS33" i="6"/>
  <c r="BS58" i="6" s="1"/>
  <c r="BS11" i="6"/>
  <c r="BS13" i="6" s="1"/>
  <c r="BS78" i="6"/>
  <c r="BR78" i="6"/>
  <c r="BR77" i="6"/>
  <c r="BS77" i="6"/>
  <c r="BS79" i="6"/>
  <c r="BR79" i="6"/>
  <c r="BS80" i="6"/>
  <c r="BS84" i="6" s="1"/>
  <c r="BR80" i="6"/>
  <c r="BR84" i="6" s="1"/>
  <c r="BR70" i="6"/>
  <c r="BR69" i="6"/>
  <c r="BR68" i="6"/>
  <c r="BR75" i="6" s="1"/>
  <c r="BS71" i="6"/>
  <c r="BS68" i="6"/>
  <c r="BS70" i="6"/>
  <c r="BS75" i="6"/>
  <c r="BS67" i="6"/>
  <c r="BQ45" i="6"/>
  <c r="BO45" i="6"/>
  <c r="BS40" i="6"/>
  <c r="BS53" i="6"/>
  <c r="BR53" i="6"/>
  <c r="CY17" i="6"/>
  <c r="BR28" i="6"/>
  <c r="BR29" i="6"/>
  <c r="BR11" i="6"/>
  <c r="BR13" i="6"/>
  <c r="DI18" i="6"/>
  <c r="DH18" i="6"/>
  <c r="DG18" i="6"/>
  <c r="DF18" i="6"/>
  <c r="DE18" i="6"/>
  <c r="DD18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BS57" i="6" l="1"/>
  <c r="BR67" i="6"/>
  <c r="AS95" i="6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T15" i="6"/>
  <c r="BR25" i="6"/>
  <c r="BT23" i="6"/>
  <c r="BT21" i="6"/>
  <c r="BP53" i="6"/>
  <c r="BO11" i="6"/>
  <c r="BO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CX37" i="6"/>
  <c r="CY37" i="6" s="1"/>
  <c r="CX36" i="6"/>
  <c r="CY36" i="6" s="1"/>
  <c r="BV15" i="6"/>
  <c r="BU15" i="6"/>
  <c r="BV16" i="6"/>
  <c r="BU16" i="6"/>
  <c r="BV23" i="6"/>
  <c r="BU23" i="6"/>
  <c r="CX20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32" i="6"/>
  <c r="BO63" i="6"/>
  <c r="BO40" i="6"/>
  <c r="BO41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T11" i="6"/>
  <c r="BH84" i="6"/>
  <c r="BP67" i="6"/>
  <c r="BJ84" i="6"/>
  <c r="BN103" i="6"/>
  <c r="BN107" i="6" s="1"/>
  <c r="BM107" i="6"/>
  <c r="CX27" i="6"/>
  <c r="BN97" i="6"/>
  <c r="BN87" i="6"/>
  <c r="BN95" i="6" s="1"/>
  <c r="BM95" i="6"/>
  <c r="BM75" i="6"/>
  <c r="CY20" i="6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CX26" i="6"/>
  <c r="BP33" i="6"/>
  <c r="BP35" i="6" s="1"/>
  <c r="BL95" i="6"/>
  <c r="BL107" i="6"/>
  <c r="BJ33" i="6"/>
  <c r="BP84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CX44" i="6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40" i="6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CZ53" i="6"/>
  <c r="AV56" i="6"/>
  <c r="AV41" i="6"/>
  <c r="AV45" i="6" s="1"/>
  <c r="DF4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4" i="6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BS51" i="6" l="1"/>
  <c r="BS35" i="6"/>
  <c r="BS41" i="6" s="1"/>
  <c r="BS45" i="6" s="1"/>
  <c r="DA25" i="6"/>
  <c r="AS86" i="6"/>
  <c r="AS48" i="6"/>
  <c r="DC13" i="6"/>
  <c r="AW86" i="6"/>
  <c r="AW48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Q41" i="6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S47" i="6" l="1"/>
  <c r="BS48" i="6" s="1"/>
  <c r="BS59" i="6"/>
  <c r="BS56" i="6"/>
  <c r="BR45" i="6"/>
  <c r="BT51" i="6"/>
  <c r="BT56" i="6"/>
  <c r="DD13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K48" i="6"/>
  <c r="BK86" i="6"/>
  <c r="BP59" i="6"/>
  <c r="BM47" i="6"/>
  <c r="CJ41" i="6"/>
  <c r="CJ45" i="6" s="1"/>
  <c r="N46" i="6"/>
  <c r="N47" i="6" s="1"/>
  <c r="BR47" i="6" l="1"/>
  <c r="BR59" i="6"/>
  <c r="CX46" i="6"/>
  <c r="DC25" i="6"/>
  <c r="BV51" i="6"/>
  <c r="BV56" i="6"/>
  <c r="DG36" i="6"/>
  <c r="DE17" i="6"/>
  <c r="DD53" i="6"/>
  <c r="CY33" i="6"/>
  <c r="CY51" i="6" s="1"/>
  <c r="DE13" i="6"/>
  <c r="BR48" i="6"/>
  <c r="CX67" i="6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I51" i="6"/>
  <c r="DI35" i="6"/>
  <c r="DI41" i="6" s="1"/>
  <c r="DC44" i="6"/>
  <c r="DC45" i="6" s="1"/>
  <c r="DC46" i="6" s="1"/>
  <c r="DC47" i="6" s="1"/>
  <c r="AR56" i="6"/>
  <c r="AR41" i="6"/>
  <c r="AR45" i="6" s="1"/>
  <c r="DH34" i="6" l="1"/>
  <c r="DI34" i="6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 s="1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  <author>tc={3B92B335-E58B-40DC-9807-96EE726A5570}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  <comment ref="CY52" authorId="12" shapeId="0" xr:uid="{3B92B335-E58B-40DC-9807-96EE726A5570}">
      <text>
        <t>[Threaded comment]
Your version of Excel allows you to read this threaded comment; however, any edits to it will get removed if the file is opened in a newer version of Excel. Learn more: https://go.microsoft.com/fwlink/?linkid=870924
Comment:
    7/29/25: 8-14%
5/7/25: 13-21%
2/5/25: 16-24%</t>
      </text>
    </comment>
  </commentList>
</comments>
</file>

<file path=xl/sharedStrings.xml><?xml version="1.0" encoding="utf-8"?>
<sst xmlns="http://schemas.openxmlformats.org/spreadsheetml/2006/main" count="877" uniqueCount="625">
  <si>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</si>
  <si>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</si>
  <si>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</si>
  <si>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</si>
  <si>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</si>
  <si>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</si>
  <si>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</si>
  <si>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</si>
  <si>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</si>
  <si>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</si>
  <si>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</si>
  <si>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</si>
  <si>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</si>
  <si>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</si>
  <si>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</si>
  <si>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</si>
  <si>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</si>
  <si>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</si>
  <si>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</si>
  <si>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</si>
  <si>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</si>
  <si>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</si>
  <si>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</si>
  <si>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</si>
  <si>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</si>
  <si>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</si>
  <si>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</si>
  <si>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</si>
  <si>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</si>
  <si>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</si>
  <si>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</si>
  <si>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</si>
  <si>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</si>
  <si>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</si>
  <si>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</si>
  <si>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</si>
  <si>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</si>
  <si>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</si>
  <si>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</si>
  <si>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</si>
  <si>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</si>
  <si>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</si>
  <si>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</si>
  <si>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</si>
  <si>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</si>
  <si>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</si>
  <si>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</si>
  <si>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</si>
  <si>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</si>
  <si>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</si>
  <si>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</si>
  <si>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</si>
  <si>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</si>
  <si>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</si>
  <si>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</si>
  <si>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</si>
  <si>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</si>
  <si>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</si>
  <si>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</si>
  <si>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</si>
  <si>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</si>
  <si>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</si>
  <si>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</si>
  <si>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</si>
  <si>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</si>
  <si>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</si>
  <si>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</si>
  <si>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</si>
  <si>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</si>
  <si>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</si>
  <si>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</si>
  <si>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</si>
  <si>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</si>
  <si>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</si>
  <si>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</si>
  <si>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</si>
  <si>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</si>
  <si>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</si>
  <si>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</si>
  <si>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</si>
  <si>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</si>
  <si>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</si>
  <si>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</si>
  <si>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</si>
  <si>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</si>
  <si>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</si>
  <si>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</si>
  <si>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</si>
  <si>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</si>
  <si>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</si>
  <si>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</si>
  <si>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</si>
  <si>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</si>
  <si>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</si>
  <si>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</si>
  <si>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</si>
  <si>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</si>
  <si>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</si>
  <si>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</si>
  <si>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</si>
  <si>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</si>
  <si>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</si>
  <si>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</si>
  <si>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</si>
  <si>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</si>
  <si>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</si>
  <si>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</si>
  <si>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</si>
  <si>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</si>
  <si>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</si>
  <si>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</si>
  <si>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</si>
  <si>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</si>
  <si>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</si>
  <si>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</si>
  <si>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</si>
  <si>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</si>
  <si>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</si>
  <si>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</si>
  <si>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</si>
  <si>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</si>
  <si>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</si>
  <si>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</si>
  <si>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</si>
  <si>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</si>
  <si>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</si>
  <si>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</si>
  <si>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</si>
  <si>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</si>
  <si>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</si>
  <si>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</si>
  <si>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</si>
  <si>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</si>
  <si>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</si>
  <si>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</si>
  <si>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</si>
  <si>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</si>
  <si>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</si>
  <si>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</si>
  <si>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</si>
  <si>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</si>
  <si>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</si>
  <si>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</si>
  <si>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</si>
  <si>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</si>
  <si>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</si>
  <si>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</si>
  <si>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</si>
  <si>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</si>
  <si>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</si>
  <si>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</si>
  <si>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</si>
  <si>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</si>
  <si>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</si>
  <si>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</si>
  <si>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</si>
  <si>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</si>
  <si>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</si>
  <si>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</si>
  <si>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</si>
  <si>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</si>
  <si>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</si>
  <si>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</si>
  <si>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</si>
  <si>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</si>
  <si>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</si>
  <si>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</si>
  <si>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</si>
  <si>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</si>
  <si>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</si>
  <si>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</si>
  <si>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</si>
  <si>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</si>
  <si>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</si>
  <si>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</si>
  <si>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</si>
  <si>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</si>
  <si>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</si>
  <si>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</si>
  <si>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</si>
  <si>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</si>
  <si>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</si>
  <si>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</si>
  <si>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</si>
  <si>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</si>
  <si>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</si>
  <si>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</si>
  <si>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</si>
  <si>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</si>
  <si>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</si>
  <si>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</si>
  <si>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</si>
  <si>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</si>
  <si>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</si>
  <si>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</si>
  <si>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</si>
  <si>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</si>
  <si>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</si>
  <si>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</si>
  <si>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</si>
  <si>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</si>
  <si>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</si>
  <si>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</si>
  <si>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</si>
  <si>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</si>
  <si>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</si>
  <si>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</si>
  <si>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</si>
  <si>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</si>
  <si>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</si>
  <si>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</si>
  <si>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</si>
  <si>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</si>
  <si>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</si>
  <si>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</si>
  <si>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</si>
  <si>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</si>
  <si>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</si>
  <si>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</si>
  <si>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</si>
  <si>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</si>
  <si>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</si>
  <si>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</si>
  <si>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</si>
  <si>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</si>
  <si>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</si>
  <si>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</si>
  <si>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</si>
  <si>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</si>
  <si>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</si>
  <si>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</si>
  <si>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</si>
  <si>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</si>
  <si>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</si>
  <si>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</si>
  <si>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</si>
  <si>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</si>
  <si>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</si>
  <si>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</si>
  <si>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</si>
  <si>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</si>
  <si>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</si>
  <si>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</si>
  <si>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</si>
  <si>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</si>
  <si>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</si>
  <si>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</si>
  <si>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</si>
  <si>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</si>
  <si>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</si>
  <si>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</si>
  <si>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</si>
  <si>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</si>
  <si>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</si>
  <si>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</si>
  <si>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</si>
  <si>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</si>
  <si>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</si>
  <si>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</si>
  <si>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</si>
  <si>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</si>
  <si>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</si>
  <si>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</si>
  <si>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</si>
  <si>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</si>
  <si>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</si>
  <si>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</si>
  <si>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</si>
  <si>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</si>
  <si>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</si>
  <si>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</si>
  <si>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</si>
  <si>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</si>
  <si>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</si>
  <si>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</si>
  <si>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</si>
  <si>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</si>
  <si>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</si>
  <si>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</si>
  <si>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</si>
  <si>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</si>
  <si>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</si>
  <si>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</si>
  <si>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</si>
  <si>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</si>
  <si>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</si>
  <si>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</si>
  <si>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</si>
  <si>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</si>
  <si>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</si>
  <si>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</si>
  <si>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</si>
  <si>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</si>
  <si>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</si>
  <si>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</si>
  <si>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</si>
  <si>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</si>
  <si>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</si>
  <si>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</si>
  <si>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</si>
  <si>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</si>
  <si>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</si>
  <si>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</si>
  <si>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</si>
  <si>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</si>
  <si>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</si>
  <si>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</si>
  <si>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</si>
  <si>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</si>
  <si>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</si>
  <si>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</si>
  <si>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</si>
  <si>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</si>
  <si>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</si>
  <si>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</si>
  <si>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</si>
  <si>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</si>
  <si>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</si>
  <si>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</si>
  <si>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</si>
  <si>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</si>
  <si>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</si>
  <si>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</si>
  <si>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</si>
  <si>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</si>
  <si>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</si>
  <si>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</si>
  <si>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</si>
  <si>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</si>
  <si>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</si>
  <si>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</si>
  <si>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</si>
  <si>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</si>
  <si>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</si>
  <si>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</si>
  <si>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</si>
  <si>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</si>
  <si>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</si>
  <si>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</si>
  <si>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</si>
  <si>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</si>
  <si>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</si>
  <si>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</si>
  <si>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</si>
  <si>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</si>
  <si>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</si>
  <si>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</si>
  <si>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</si>
  <si>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</si>
  <si>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</si>
  <si>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</si>
  <si>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</si>
  <si>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</si>
  <si>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</si>
  <si>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</si>
  <si>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</si>
  <si>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</si>
  <si>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</si>
  <si>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</si>
  <si>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</si>
  <si>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</si>
  <si>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</si>
  <si>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</si>
  <si>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</si>
  <si>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</si>
  <si>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</si>
  <si>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</si>
  <si>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</si>
  <si>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</si>
  <si>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</si>
  <si>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</si>
  <si>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</si>
  <si>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</si>
  <si>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</si>
  <si>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</si>
  <si>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</si>
  <si>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</si>
  <si>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</si>
  <si>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</si>
  <si>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</si>
  <si>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</si>
  <si>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</si>
  <si>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</si>
  <si>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</si>
  <si>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</si>
  <si>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</si>
  <si>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</si>
  <si>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</si>
  <si>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</si>
  <si>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</si>
  <si>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</si>
  <si>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</si>
  <si>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</si>
  <si>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</si>
  <si>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</si>
  <si>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</si>
  <si>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</si>
  <si>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</si>
  <si>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</si>
  <si>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</si>
  <si>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</si>
  <si>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</si>
  <si>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</si>
  <si>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</si>
  <si>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</si>
  <si>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</si>
  <si>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</si>
  <si>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</si>
  <si>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</si>
  <si>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</si>
  <si>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</si>
  <si>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</si>
  <si>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</si>
  <si>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</si>
  <si>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</si>
  <si>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</si>
  <si>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</si>
  <si>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</si>
  <si>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</si>
  <si>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</si>
  <si>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</si>
  <si>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</si>
  <si>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</si>
  <si>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</si>
  <si>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</si>
  <si>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</si>
  <si>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</si>
  <si>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</si>
  <si>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</si>
  <si>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</si>
  <si>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</si>
  <si>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</si>
  <si>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</si>
  <si>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</si>
  <si>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</si>
  <si>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</si>
  <si>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</si>
  <si>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</si>
  <si>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</si>
  <si>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</si>
  <si>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</si>
  <si>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</si>
  <si>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</si>
  <si>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</si>
  <si>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</si>
  <si>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</si>
  <si>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</si>
  <si>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</si>
  <si>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</si>
  <si>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</si>
  <si>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</si>
  <si>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</si>
  <si>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</si>
  <si>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</si>
  <si>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</si>
  <si>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</si>
  <si>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</si>
  <si>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</si>
  <si>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</si>
  <si>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</si>
  <si>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</si>
  <si>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</si>
  <si>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</si>
  <si>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</si>
  <si>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</si>
  <si>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</si>
  <si>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</si>
  <si>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</si>
  <si>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</si>
  <si>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</si>
  <si>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</si>
  <si>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</si>
  <si>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</si>
  <si>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</si>
  <si>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</si>
  <si>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</si>
  <si>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</si>
  <si>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</si>
  <si>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</si>
  <si>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</si>
  <si>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</si>
  <si>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</si>
  <si>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</si>
  <si>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</si>
  <si>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</si>
  <si>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</si>
  <si>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</si>
  <si>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</si>
  <si>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</si>
  <si>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</si>
  <si>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</si>
  <si>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</si>
  <si>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</si>
  <si>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</si>
  <si>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</si>
  <si>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</si>
  <si>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</si>
  <si>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</si>
  <si>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</si>
  <si>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</si>
  <si>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</si>
  <si>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</si>
  <si>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</si>
  <si>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</si>
  <si>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</si>
  <si>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</si>
  <si>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</si>
  <si>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</si>
  <si>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</si>
  <si>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</si>
  <si>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</si>
  <si>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</si>
  <si>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</si>
  <si>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</si>
  <si>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</si>
  <si>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</si>
  <si>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</si>
  <si>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</si>
  <si>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</si>
  <si>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</si>
  <si>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</si>
  <si>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</si>
  <si>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</si>
  <si>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</si>
  <si>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</si>
  <si>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</si>
  <si>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</si>
  <si>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</si>
  <si>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</si>
  <si>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</si>
  <si>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</si>
  <si>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</si>
  <si>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</si>
  <si>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</si>
  <si>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</si>
  <si>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</si>
  <si>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</si>
  <si>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</si>
  <si>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</si>
  <si>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</si>
  <si>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</si>
  <si>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</si>
  <si>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</si>
  <si>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</si>
  <si>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</si>
  <si>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</si>
  <si>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</si>
  <si>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</si>
  <si>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</si>
  <si>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</si>
  <si>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</si>
  <si>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</si>
  <si>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</si>
  <si>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</si>
  <si>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</si>
  <si>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</si>
  <si>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</si>
  <si>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</si>
  <si>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</si>
  <si>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</si>
  <si>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</si>
  <si>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</si>
  <si>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</si>
  <si>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</si>
  <si>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</si>
  <si>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</si>
  <si>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</si>
  <si>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</si>
  <si>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</si>
  <si>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</si>
  <si>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</si>
  <si>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</si>
  <si>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</si>
  <si>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</si>
  <si>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</si>
  <si>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</si>
  <si>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</si>
  <si>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</si>
  <si>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</si>
  <si>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</si>
  <si>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</si>
  <si>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</si>
  <si>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</si>
  <si>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</si>
  <si>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</si>
  <si>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</si>
  <si>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</si>
  <si>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</si>
  <si>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</si>
  <si>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</si>
  <si>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</si>
  <si>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</si>
  <si>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</si>
  <si>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</si>
  <si>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</si>
  <si>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</si>
  <si>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</si>
  <si>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</si>
  <si>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</si>
  <si>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</si>
  <si>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</si>
  <si>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</si>
  <si>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</si>
  <si>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</si>
  <si>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</si>
  <si>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</si>
  <si>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</si>
  <si>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</si>
  <si>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</si>
  <si>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</si>
  <si>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</si>
  <si>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</si>
  <si>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</si>
  <si>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</si>
  <si>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</si>
  <si>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</si>
  <si>
    <t>CEO: Lars Jorgensen fired.</t>
  </si>
  <si>
    <t>5/7/25: Q125</t>
  </si>
  <si>
    <t>Filing BLA Q116</t>
  </si>
  <si>
    <t>15.7% weight loss</t>
  </si>
  <si>
    <t>Phase IIIa "REDEFINE 2" 68-week trial n=1200 obesity in T2D</t>
  </si>
  <si>
    <t>EVP, People: Tania Sabroe</t>
  </si>
  <si>
    <t>EVP Quality, IT: Thilde Hummel Bogebjerg</t>
  </si>
  <si>
    <t>EVP, Commercial: Camilla Sylvest fired</t>
  </si>
  <si>
    <t>EVP Product &amp; Portfolio Strategy: Ludovic Helfgott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</si>
</sst>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1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  <font>
      <strike/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  <xf numFmtId="0" fontId="20" fillId="5" borderId="0" xfId="0" applyFont="1" applyFill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38499</xdr:colOff>
      <xdr:row>0</xdr:row>
      <xdr:rowOff>7938</xdr:rowOff>
    </xdr:from>
    <xdr:to>
      <xdr:col>71</xdr:col>
      <xdr:colOff>38499</xdr:colOff>
      <xdr:row>119</xdr:row>
      <xdr:rowOff>69248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6955812" y="7938"/>
          <a:ext cx="0" cy="19897123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49</xdr:row>
      <xdr:rowOff>0</xdr:rowOff>
    </xdr:from>
    <xdr:to>
      <xdr:col>16</xdr:col>
      <xdr:colOff>486834</xdr:colOff>
      <xdr:row>72</xdr:row>
      <xdr:rowOff>60936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22</xdr:row>
      <xdr:rowOff>135467</xdr:rowOff>
    </xdr:from>
    <xdr:to>
      <xdr:col>11</xdr:col>
      <xdr:colOff>245533</xdr:colOff>
      <xdr:row>47</xdr:row>
      <xdr:rowOff>52379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  <threadedComment ref="CY52" dT="2025-07-30T13:56:56.77" personId="{00000000-0000-0000-0000-000000000000}" id="{3B92B335-E58B-40DC-9807-96EE726A5570}">
    <text>7/29/25: 8-14%
5/7/25: 13-21%
2/5/25: 16-24%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359</v>
      </c>
      <c r="E2" s="60" t="s">
        <v>1</v>
      </c>
      <c r="F2" s="60" t="s">
        <v>377</v>
      </c>
      <c r="G2" s="60" t="s">
        <v>318</v>
      </c>
    </row>
    <row r="3" spans="1:7">
      <c r="C3" s="60" t="s">
        <v>360</v>
      </c>
      <c r="D3" s="60" t="s">
        <v>361</v>
      </c>
      <c r="E3" s="60" t="s">
        <v>362</v>
      </c>
    </row>
    <row r="4" spans="1:7">
      <c r="E4" s="60" t="s">
        <v>379</v>
      </c>
      <c r="F4" s="60" t="s">
        <v>378</v>
      </c>
    </row>
    <row r="5" spans="1:7">
      <c r="E5" s="60" t="s">
        <v>400</v>
      </c>
      <c r="F5" s="60" t="s">
        <v>399</v>
      </c>
      <c r="G5" s="60" t="s">
        <v>401</v>
      </c>
    </row>
    <row r="6" spans="1:7">
      <c r="B6" s="60" t="s">
        <v>408</v>
      </c>
      <c r="E6" s="60" t="s">
        <v>400</v>
      </c>
    </row>
    <row r="8" spans="1:7" s="24" customFormat="1">
      <c r="B8" s="19" t="s">
        <v>330</v>
      </c>
      <c r="C8" s="26" t="s">
        <v>331</v>
      </c>
      <c r="D8" s="26"/>
      <c r="E8" s="24" t="s">
        <v>433</v>
      </c>
      <c r="F8" s="26"/>
      <c r="G8" s="30"/>
    </row>
    <row r="9" spans="1:7">
      <c r="B9" s="26" t="s">
        <v>260</v>
      </c>
      <c r="C9" s="26" t="s">
        <v>333</v>
      </c>
      <c r="D9" s="26" t="s">
        <v>53</v>
      </c>
      <c r="E9" s="74" t="s">
        <v>437</v>
      </c>
      <c r="F9" s="30" t="s">
        <v>363</v>
      </c>
    </row>
    <row r="10" spans="1:7">
      <c r="B10" s="60" t="s">
        <v>478</v>
      </c>
      <c r="D10" s="76" t="s">
        <v>53</v>
      </c>
    </row>
    <row r="11" spans="1:7">
      <c r="B11" s="60" t="s">
        <v>479</v>
      </c>
    </row>
    <row r="12" spans="1:7">
      <c r="B12" t="s">
        <v>480</v>
      </c>
      <c r="F12" s="60" t="s">
        <v>476</v>
      </c>
    </row>
    <row r="13" spans="1:7">
      <c r="B13" t="s">
        <v>481</v>
      </c>
      <c r="E13" t="s">
        <v>222</v>
      </c>
    </row>
    <row r="14" spans="1:7">
      <c r="B14" t="s">
        <v>482</v>
      </c>
      <c r="E14" t="s">
        <v>222</v>
      </c>
    </row>
    <row r="15" spans="1:7">
      <c r="B15" t="s">
        <v>487</v>
      </c>
    </row>
    <row r="16" spans="1:7">
      <c r="B16" t="s">
        <v>488</v>
      </c>
    </row>
    <row r="17" spans="2:6">
      <c r="B17" t="s">
        <v>489</v>
      </c>
      <c r="E17" s="60" t="s">
        <v>179</v>
      </c>
    </row>
    <row r="18" spans="2:6">
      <c r="B18" s="60" t="s">
        <v>490</v>
      </c>
      <c r="F18" s="60" t="s">
        <v>18</v>
      </c>
    </row>
    <row r="19" spans="2:6">
      <c r="B19" s="60" t="s">
        <v>491</v>
      </c>
      <c r="F19" s="60"/>
    </row>
    <row r="20" spans="2:6">
      <c r="B20" s="60" t="s">
        <v>492</v>
      </c>
      <c r="C20" s="60" t="s">
        <v>315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264</v>
      </c>
    </row>
    <row r="5" spans="1:3">
      <c r="B5" s="24" t="s">
        <v>230</v>
      </c>
      <c r="C5" s="24" t="s">
        <v>265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371</v>
      </c>
    </row>
    <row r="3" spans="1:3">
      <c r="B3" s="60" t="s">
        <v>1</v>
      </c>
      <c r="C3" s="60" t="s">
        <v>387</v>
      </c>
    </row>
    <row r="4" spans="1:3">
      <c r="B4" s="60" t="s">
        <v>318</v>
      </c>
      <c r="C4" s="60" t="s">
        <v>277</v>
      </c>
    </row>
    <row r="5" spans="1:3">
      <c r="B5" s="60" t="s">
        <v>338</v>
      </c>
      <c r="C5" s="60" t="s">
        <v>409</v>
      </c>
    </row>
    <row r="6" spans="1:3">
      <c r="C6" s="60" t="s">
        <v>410</v>
      </c>
    </row>
    <row r="7" spans="1:3">
      <c r="C7" s="60" t="s">
        <v>501</v>
      </c>
    </row>
    <row r="10" spans="1:3" ht="13">
      <c r="C10" s="63" t="s">
        <v>386</v>
      </c>
    </row>
    <row r="50" spans="5:5" ht="15.5">
      <c r="E50" s="66" t="s">
        <v>372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425</v>
      </c>
    </row>
    <row r="3" spans="1:3">
      <c r="B3" s="60" t="s">
        <v>1</v>
      </c>
      <c r="C3" s="60" t="s">
        <v>546</v>
      </c>
    </row>
    <row r="4" spans="1:3">
      <c r="B4" s="60" t="s">
        <v>323</v>
      </c>
      <c r="C4" s="60" t="s">
        <v>549</v>
      </c>
    </row>
    <row r="5" spans="1:3">
      <c r="B5" s="60" t="s">
        <v>157</v>
      </c>
    </row>
    <row r="6" spans="1:3" ht="13">
      <c r="C6" s="63" t="s">
        <v>438</v>
      </c>
    </row>
    <row r="7" spans="1:3">
      <c r="C7" s="60" t="s">
        <v>439</v>
      </c>
    </row>
    <row r="8" spans="1:3">
      <c r="C8" s="60" t="s">
        <v>440</v>
      </c>
    </row>
    <row r="11" spans="1:3" ht="13">
      <c r="C11" s="63" t="s">
        <v>545</v>
      </c>
    </row>
    <row r="12" spans="1:3">
      <c r="C12" s="60" t="s">
        <v>547</v>
      </c>
    </row>
    <row r="13" spans="1:3">
      <c r="C13" s="60" t="s">
        <v>548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316</v>
      </c>
    </row>
    <row r="3" spans="1:3">
      <c r="B3" s="60" t="s">
        <v>217</v>
      </c>
      <c r="C3" s="60" t="s">
        <v>276</v>
      </c>
    </row>
    <row r="4" spans="1:3">
      <c r="B4" s="60" t="s">
        <v>219</v>
      </c>
      <c r="C4" s="60" t="s">
        <v>277</v>
      </c>
    </row>
    <row r="5" spans="1:3">
      <c r="B5" s="60" t="s">
        <v>223</v>
      </c>
      <c r="C5" s="60" t="s">
        <v>468</v>
      </c>
    </row>
    <row r="6" spans="1:3">
      <c r="B6" s="60" t="s">
        <v>318</v>
      </c>
      <c r="C6" s="60" t="s">
        <v>319</v>
      </c>
    </row>
    <row r="7" spans="1:3">
      <c r="B7" s="60" t="s">
        <v>338</v>
      </c>
      <c r="C7" s="60" t="s">
        <v>460</v>
      </c>
    </row>
    <row r="8" spans="1:3">
      <c r="B8" s="60"/>
      <c r="C8" s="60" t="s">
        <v>461</v>
      </c>
    </row>
    <row r="9" spans="1:3">
      <c r="B9" s="60" t="s">
        <v>323</v>
      </c>
      <c r="C9" s="60" t="s">
        <v>462</v>
      </c>
    </row>
    <row r="10" spans="1:3">
      <c r="B10" s="60"/>
      <c r="C10" s="60" t="s">
        <v>463</v>
      </c>
    </row>
    <row r="11" spans="1:3">
      <c r="B11" s="60"/>
      <c r="C11" s="60" t="s">
        <v>473</v>
      </c>
    </row>
    <row r="12" spans="1:3">
      <c r="B12" s="60"/>
      <c r="C12" s="60" t="s">
        <v>526</v>
      </c>
    </row>
    <row r="13" spans="1:3">
      <c r="B13" s="60" t="s">
        <v>157</v>
      </c>
    </row>
    <row r="14" spans="1:3" ht="13">
      <c r="C14" s="63" t="s">
        <v>278</v>
      </c>
    </row>
    <row r="15" spans="1:3">
      <c r="C15" s="60" t="s">
        <v>279</v>
      </c>
    </row>
    <row r="16" spans="1:3">
      <c r="C16" s="60" t="s">
        <v>428</v>
      </c>
    </row>
    <row r="17" spans="3:3">
      <c r="C17" s="60"/>
    </row>
    <row r="18" spans="3:3" ht="13">
      <c r="C18" s="63" t="s">
        <v>340</v>
      </c>
    </row>
    <row r="19" spans="3:3">
      <c r="C19" s="60" t="s">
        <v>428</v>
      </c>
    </row>
    <row r="21" spans="3:3" ht="13">
      <c r="C21" s="63" t="s">
        <v>374</v>
      </c>
    </row>
    <row r="22" spans="3:3">
      <c r="C22" s="60" t="s">
        <v>375</v>
      </c>
    </row>
    <row r="24" spans="3:3" ht="13">
      <c r="C24" s="63" t="s">
        <v>469</v>
      </c>
    </row>
    <row r="25" spans="3:3">
      <c r="C25" s="60" t="s">
        <v>470</v>
      </c>
    </row>
    <row r="26" spans="3:3">
      <c r="C26" s="60" t="s">
        <v>471</v>
      </c>
    </row>
    <row r="27" spans="3:3">
      <c r="C27" s="60" t="s">
        <v>472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449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450</v>
      </c>
    </row>
    <row r="6" spans="1:3">
      <c r="B6" s="60" t="s">
        <v>451</v>
      </c>
      <c r="C6" s="60" t="s">
        <v>453</v>
      </c>
    </row>
    <row r="7" spans="1:3">
      <c r="B7" s="60" t="s">
        <v>219</v>
      </c>
      <c r="C7" s="60" t="s">
        <v>452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453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581</v>
      </c>
    </row>
    <row r="3" spans="1:3">
      <c r="B3" s="60" t="s">
        <v>223</v>
      </c>
      <c r="C3" s="60" t="s">
        <v>272</v>
      </c>
    </row>
    <row r="4" spans="1:3">
      <c r="B4" s="60" t="s">
        <v>219</v>
      </c>
      <c r="C4" s="60" t="s">
        <v>273</v>
      </c>
    </row>
    <row r="5" spans="1:3">
      <c r="B5" s="60" t="s">
        <v>157</v>
      </c>
    </row>
    <row r="6" spans="1:3" ht="13">
      <c r="C6" s="63" t="s">
        <v>274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256</v>
      </c>
    </row>
    <row r="4" spans="1:3">
      <c r="B4" s="60" t="s">
        <v>1</v>
      </c>
      <c r="C4" s="60" t="s">
        <v>257</v>
      </c>
    </row>
    <row r="5" spans="1:3">
      <c r="B5" s="60" t="s">
        <v>219</v>
      </c>
      <c r="C5" s="60" t="s">
        <v>435</v>
      </c>
    </row>
    <row r="6" spans="1:3">
      <c r="B6" s="60" t="s">
        <v>157</v>
      </c>
    </row>
    <row r="7" spans="1:3" ht="13">
      <c r="C7" s="63" t="s">
        <v>295</v>
      </c>
    </row>
    <row r="8" spans="1:3">
      <c r="C8" s="60" t="s">
        <v>294</v>
      </c>
    </row>
    <row r="11" spans="1:3" ht="13">
      <c r="C11" s="63" t="s">
        <v>297</v>
      </c>
    </row>
    <row r="12" spans="1:3">
      <c r="C12" s="60" t="s">
        <v>296</v>
      </c>
    </row>
    <row r="15" spans="1:3" ht="13">
      <c r="C15" s="63" t="s">
        <v>411</v>
      </c>
    </row>
    <row r="16" spans="1:3">
      <c r="C16" s="60" t="s">
        <v>412</v>
      </c>
    </row>
    <row r="17" spans="3:3">
      <c r="C17" s="60" t="s">
        <v>413</v>
      </c>
    </row>
    <row r="20" spans="3:3" ht="13">
      <c r="C20" s="63" t="s">
        <v>436</v>
      </c>
    </row>
    <row r="21" spans="3:3">
      <c r="C21" s="60" t="s">
        <v>434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579</v>
      </c>
    </row>
    <row r="3" spans="1:3">
      <c r="B3" s="60" t="s">
        <v>217</v>
      </c>
      <c r="C3" s="60" t="s">
        <v>320</v>
      </c>
    </row>
    <row r="4" spans="1:3">
      <c r="B4" s="60" t="s">
        <v>1</v>
      </c>
      <c r="C4" s="60" t="s">
        <v>321</v>
      </c>
    </row>
    <row r="5" spans="1:3">
      <c r="B5" s="60" t="s">
        <v>223</v>
      </c>
      <c r="C5" s="60" t="s">
        <v>534</v>
      </c>
    </row>
    <row r="6" spans="1:3">
      <c r="B6" s="60" t="s">
        <v>219</v>
      </c>
      <c r="C6" s="60" t="s">
        <v>355</v>
      </c>
    </row>
    <row r="7" spans="1:3">
      <c r="B7" s="60" t="s">
        <v>157</v>
      </c>
    </row>
    <row r="8" spans="1:3" ht="13">
      <c r="C8" s="63" t="s">
        <v>351</v>
      </c>
    </row>
    <row r="9" spans="1:3">
      <c r="C9" s="60" t="s">
        <v>350</v>
      </c>
    </row>
    <row r="10" spans="1:3">
      <c r="C10" s="60" t="s">
        <v>352</v>
      </c>
    </row>
    <row r="12" spans="1:3" ht="13">
      <c r="C12" s="63" t="s">
        <v>353</v>
      </c>
    </row>
    <row r="13" spans="1:3">
      <c r="C13" s="60" t="s">
        <v>354</v>
      </c>
    </row>
    <row r="15" spans="1:3" ht="13">
      <c r="C15" s="63" t="s">
        <v>536</v>
      </c>
    </row>
    <row r="16" spans="1:3">
      <c r="C16" s="60" t="s">
        <v>535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3"/>
  <sheetViews>
    <sheetView tabSelected="1" zoomScale="115" zoomScaleNormal="115" workbookViewId="0">
      <selection activeCell="J7" sqref="J7"/>
    </sheetView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333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4446</v>
      </c>
      <c r="K3" s="29" t="s">
        <v>420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1480518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47876</v>
      </c>
      <c r="K5" s="29" t="s">
        <v>420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335</v>
      </c>
      <c r="G6" s="27">
        <v>1</v>
      </c>
      <c r="I6" s="24" t="s">
        <v>19</v>
      </c>
      <c r="J6" s="28">
        <v>121115</v>
      </c>
      <c r="K6" s="29" t="s">
        <v>420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1553757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484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336</v>
      </c>
      <c r="G10" s="27">
        <v>1</v>
      </c>
      <c r="I10" s="24" t="s">
        <v>263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336</v>
      </c>
      <c r="G11" s="27">
        <v>1</v>
      </c>
      <c r="I11" s="24" t="s">
        <v>616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262</v>
      </c>
      <c r="J12" s="25"/>
    </row>
    <row r="13" spans="2:11">
      <c r="B13" s="3" t="s">
        <v>275</v>
      </c>
      <c r="C13" s="26" t="s">
        <v>8</v>
      </c>
      <c r="D13" s="26" t="s">
        <v>9</v>
      </c>
      <c r="E13" s="26" t="s">
        <v>426</v>
      </c>
      <c r="F13" s="26" t="s">
        <v>252</v>
      </c>
      <c r="G13" s="27">
        <v>1</v>
      </c>
      <c r="I13" s="24" t="s">
        <v>511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512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513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335</v>
      </c>
      <c r="G16" s="27">
        <v>1</v>
      </c>
      <c r="I16" s="24" t="s">
        <v>514</v>
      </c>
      <c r="J16" s="25"/>
    </row>
    <row r="17" spans="2:10">
      <c r="B17" s="19" t="s">
        <v>485</v>
      </c>
      <c r="C17" s="26" t="s">
        <v>8</v>
      </c>
      <c r="D17" s="26" t="s">
        <v>30</v>
      </c>
      <c r="E17" s="26" t="s">
        <v>31</v>
      </c>
      <c r="F17" s="26"/>
      <c r="G17" s="30"/>
      <c r="I17" s="88" t="s">
        <v>623</v>
      </c>
    </row>
    <row r="18" spans="2:10">
      <c r="B18" s="19" t="s">
        <v>245</v>
      </c>
      <c r="E18" s="26"/>
      <c r="F18" s="26"/>
      <c r="G18" s="30"/>
      <c r="I18" s="24" t="s">
        <v>621</v>
      </c>
    </row>
    <row r="19" spans="2:10">
      <c r="B19" s="19" t="s">
        <v>246</v>
      </c>
      <c r="E19" s="26"/>
      <c r="F19" s="26"/>
      <c r="G19" s="30"/>
      <c r="I19" s="24" t="s">
        <v>622</v>
      </c>
    </row>
    <row r="20" spans="2:10">
      <c r="B20" s="19" t="s">
        <v>247</v>
      </c>
      <c r="E20" s="26"/>
      <c r="F20" s="26"/>
      <c r="G20" s="30"/>
      <c r="I20" s="24" t="s">
        <v>624</v>
      </c>
    </row>
    <row r="21" spans="2:10">
      <c r="B21" s="3" t="s">
        <v>249</v>
      </c>
      <c r="C21" s="26" t="s">
        <v>179</v>
      </c>
      <c r="D21" s="26" t="s">
        <v>454</v>
      </c>
      <c r="E21" s="26">
        <v>2019</v>
      </c>
      <c r="F21" s="26" t="s">
        <v>452</v>
      </c>
      <c r="G21" s="30"/>
    </row>
    <row r="22" spans="2:10">
      <c r="B22" s="19" t="s">
        <v>358</v>
      </c>
      <c r="C22" s="26" t="s">
        <v>180</v>
      </c>
      <c r="E22" s="26"/>
      <c r="F22" s="26"/>
      <c r="G22" s="30"/>
      <c r="I22" s="24" t="s">
        <v>261</v>
      </c>
    </row>
    <row r="23" spans="2:10">
      <c r="B23" s="19" t="s">
        <v>253</v>
      </c>
      <c r="C23" s="26" t="s">
        <v>32</v>
      </c>
      <c r="D23" s="26" t="s">
        <v>33</v>
      </c>
      <c r="E23" s="26"/>
      <c r="F23" s="26"/>
      <c r="G23" s="30"/>
      <c r="I23" s="24" t="s">
        <v>337</v>
      </c>
    </row>
    <row r="24" spans="2:10">
      <c r="B24" s="19" t="s">
        <v>248</v>
      </c>
      <c r="E24" s="26"/>
      <c r="F24" s="26"/>
      <c r="G24" s="30"/>
    </row>
    <row r="25" spans="2:10">
      <c r="B25" s="3" t="s">
        <v>329</v>
      </c>
      <c r="C25" s="26" t="s">
        <v>24</v>
      </c>
      <c r="E25" s="26" t="s">
        <v>385</v>
      </c>
      <c r="F25" s="26"/>
      <c r="G25" s="30"/>
      <c r="I25" s="24" t="s">
        <v>477</v>
      </c>
    </row>
    <row r="26" spans="2:10">
      <c r="B26" s="19" t="s">
        <v>250</v>
      </c>
      <c r="E26" s="26"/>
      <c r="F26" s="26"/>
      <c r="G26" s="30"/>
      <c r="I26" s="24" t="s">
        <v>326</v>
      </c>
    </row>
    <row r="27" spans="2:10">
      <c r="B27" s="19" t="s">
        <v>251</v>
      </c>
      <c r="E27" s="26"/>
      <c r="F27" s="26"/>
      <c r="G27" s="30"/>
    </row>
    <row r="28" spans="2:10">
      <c r="B28" s="19" t="s">
        <v>397</v>
      </c>
      <c r="C28" s="26" t="s">
        <v>398</v>
      </c>
      <c r="E28" s="26" t="s">
        <v>465</v>
      </c>
      <c r="F28" s="26"/>
      <c r="G28" s="30" t="s">
        <v>464</v>
      </c>
      <c r="I28" s="24" t="s">
        <v>394</v>
      </c>
    </row>
    <row r="29" spans="2:10">
      <c r="B29" s="3" t="s">
        <v>503</v>
      </c>
      <c r="C29" s="26" t="s">
        <v>27</v>
      </c>
      <c r="E29" s="26" t="s">
        <v>429</v>
      </c>
      <c r="F29" s="26"/>
      <c r="G29" s="30"/>
      <c r="I29" s="24" t="s">
        <v>393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396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256</v>
      </c>
      <c r="C32" s="26" t="s">
        <v>431</v>
      </c>
      <c r="E32" s="26" t="s">
        <v>34</v>
      </c>
      <c r="F32" s="26"/>
      <c r="G32" s="27"/>
    </row>
    <row r="33" spans="2:7">
      <c r="B33" s="3" t="s">
        <v>524</v>
      </c>
      <c r="C33" s="26" t="s">
        <v>8</v>
      </c>
      <c r="E33" s="26" t="s">
        <v>525</v>
      </c>
      <c r="F33" s="26"/>
      <c r="G33" s="27"/>
    </row>
    <row r="34" spans="2:7">
      <c r="B34" s="3" t="s">
        <v>258</v>
      </c>
      <c r="C34" s="26" t="s">
        <v>259</v>
      </c>
      <c r="D34" s="26" t="s">
        <v>267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283</v>
      </c>
      <c r="C36" s="26" t="s">
        <v>8</v>
      </c>
      <c r="D36" s="26" t="s">
        <v>288</v>
      </c>
      <c r="E36" s="26" t="s">
        <v>34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417</v>
      </c>
      <c r="C39" s="26" t="s">
        <v>418</v>
      </c>
      <c r="E39" s="26" t="s">
        <v>41</v>
      </c>
      <c r="F39" s="26"/>
      <c r="G39" s="30" t="s">
        <v>523</v>
      </c>
    </row>
    <row r="40" spans="2:7">
      <c r="B40" s="3" t="s">
        <v>425</v>
      </c>
      <c r="E40" s="26"/>
      <c r="F40" s="26"/>
      <c r="G40" s="30"/>
    </row>
    <row r="41" spans="2:7">
      <c r="B41" s="19" t="s">
        <v>327</v>
      </c>
      <c r="D41" s="26" t="s">
        <v>356</v>
      </c>
      <c r="E41" s="26" t="s">
        <v>53</v>
      </c>
      <c r="F41" s="26"/>
      <c r="G41" s="30"/>
    </row>
    <row r="42" spans="2:7">
      <c r="B42" s="19" t="s">
        <v>388</v>
      </c>
      <c r="C42" s="26" t="s">
        <v>259</v>
      </c>
      <c r="D42" s="26" t="s">
        <v>334</v>
      </c>
      <c r="E42" s="26" t="s">
        <v>53</v>
      </c>
      <c r="F42" s="26"/>
      <c r="G42" s="30" t="s">
        <v>389</v>
      </c>
    </row>
    <row r="43" spans="2:7">
      <c r="B43" s="19" t="s">
        <v>515</v>
      </c>
      <c r="C43" s="26" t="s">
        <v>259</v>
      </c>
      <c r="D43" s="26" t="s">
        <v>515</v>
      </c>
      <c r="E43" s="26" t="s">
        <v>53</v>
      </c>
      <c r="F43" s="26"/>
      <c r="G43" s="30"/>
    </row>
    <row r="44" spans="2:7">
      <c r="B44" s="19" t="s">
        <v>518</v>
      </c>
      <c r="C44" s="26" t="s">
        <v>179</v>
      </c>
      <c r="D44" s="26" t="s">
        <v>519</v>
      </c>
      <c r="E44" s="26" t="s">
        <v>53</v>
      </c>
      <c r="F44" s="26"/>
      <c r="G44" s="30"/>
    </row>
    <row r="45" spans="2:7">
      <c r="B45" s="19"/>
      <c r="C45" s="26" t="s">
        <v>390</v>
      </c>
      <c r="D45" s="26" t="s">
        <v>334</v>
      </c>
      <c r="E45" s="26" t="s">
        <v>53</v>
      </c>
      <c r="F45" s="26"/>
      <c r="G45" s="30" t="s">
        <v>391</v>
      </c>
    </row>
    <row r="46" spans="2:7">
      <c r="B46" s="19" t="s">
        <v>520</v>
      </c>
      <c r="C46" s="26" t="s">
        <v>521</v>
      </c>
      <c r="D46" s="26" t="s">
        <v>522</v>
      </c>
      <c r="E46" s="26" t="s">
        <v>53</v>
      </c>
      <c r="F46" s="26"/>
      <c r="G46" s="30"/>
    </row>
    <row r="47" spans="2:7">
      <c r="B47" s="19" t="s">
        <v>392</v>
      </c>
      <c r="E47" s="26" t="s">
        <v>53</v>
      </c>
      <c r="F47" s="26"/>
      <c r="G47" s="30"/>
    </row>
    <row r="48" spans="2:7">
      <c r="B48" s="3" t="s">
        <v>504</v>
      </c>
      <c r="C48" s="26" t="s">
        <v>357</v>
      </c>
      <c r="D48" s="26" t="s">
        <v>415</v>
      </c>
      <c r="E48" s="26" t="s">
        <v>41</v>
      </c>
      <c r="F48" s="26"/>
      <c r="G48" s="30"/>
    </row>
    <row r="49" spans="2:7">
      <c r="B49" s="19"/>
      <c r="C49" s="26" t="s">
        <v>441</v>
      </c>
      <c r="D49" s="26" t="s">
        <v>442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573</v>
      </c>
      <c r="C51" s="84" t="s">
        <v>574</v>
      </c>
      <c r="D51" s="84" t="s">
        <v>289</v>
      </c>
      <c r="E51" s="84" t="s">
        <v>41</v>
      </c>
      <c r="F51" s="85"/>
      <c r="G51" s="86" t="s">
        <v>582</v>
      </c>
    </row>
    <row r="52" spans="2:7">
      <c r="B52" s="3" t="s">
        <v>320</v>
      </c>
      <c r="C52" s="26" t="s">
        <v>8</v>
      </c>
      <c r="D52" s="26" t="s">
        <v>533</v>
      </c>
      <c r="E52" s="26" t="s">
        <v>41</v>
      </c>
      <c r="F52" s="26"/>
      <c r="G52" s="30"/>
    </row>
    <row r="53" spans="2:7">
      <c r="B53" s="19" t="s">
        <v>583</v>
      </c>
      <c r="C53" s="26" t="s">
        <v>8</v>
      </c>
      <c r="D53" s="82" t="s">
        <v>572</v>
      </c>
      <c r="E53" s="26" t="s">
        <v>53</v>
      </c>
      <c r="F53" s="26" t="s">
        <v>594</v>
      </c>
      <c r="G53" s="30"/>
    </row>
    <row r="54" spans="2:7">
      <c r="B54" s="19" t="s">
        <v>576</v>
      </c>
      <c r="C54" s="26" t="s">
        <v>222</v>
      </c>
      <c r="D54" s="82" t="s">
        <v>601</v>
      </c>
      <c r="E54" s="26" t="s">
        <v>53</v>
      </c>
      <c r="F54" s="26"/>
      <c r="G54" s="30"/>
    </row>
    <row r="55" spans="2:7">
      <c r="B55" s="19" t="s">
        <v>571</v>
      </c>
      <c r="C55" s="26" t="s">
        <v>222</v>
      </c>
      <c r="D55" s="82" t="s">
        <v>572</v>
      </c>
      <c r="E55" s="26" t="s">
        <v>53</v>
      </c>
      <c r="F55" s="26" t="s">
        <v>541</v>
      </c>
      <c r="G55" s="30"/>
    </row>
    <row r="56" spans="2:7">
      <c r="B56" s="19"/>
      <c r="C56" s="26" t="s">
        <v>537</v>
      </c>
      <c r="D56" s="26" t="s">
        <v>538</v>
      </c>
      <c r="E56" s="26" t="s">
        <v>53</v>
      </c>
      <c r="F56" s="26" t="s">
        <v>541</v>
      </c>
      <c r="G56" s="30" t="s">
        <v>542</v>
      </c>
    </row>
    <row r="57" spans="2:7">
      <c r="B57" s="3" t="s">
        <v>317</v>
      </c>
      <c r="C57" s="26" t="s">
        <v>8</v>
      </c>
      <c r="D57" s="26" t="s">
        <v>289</v>
      </c>
      <c r="E57" s="26" t="s">
        <v>41</v>
      </c>
      <c r="F57" s="26" t="s">
        <v>252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584</v>
      </c>
      <c r="C59" s="26" t="s">
        <v>585</v>
      </c>
      <c r="E59" s="26" t="s">
        <v>53</v>
      </c>
      <c r="F59" s="26"/>
      <c r="G59" s="30"/>
    </row>
    <row r="60" spans="2:7">
      <c r="B60" s="19" t="s">
        <v>578</v>
      </c>
      <c r="C60" s="26" t="s">
        <v>577</v>
      </c>
      <c r="D60" s="82" t="s">
        <v>572</v>
      </c>
      <c r="E60" s="26" t="s">
        <v>53</v>
      </c>
      <c r="F60" s="26" t="s">
        <v>594</v>
      </c>
      <c r="G60" s="30"/>
    </row>
    <row r="61" spans="2:7">
      <c r="B61" s="19" t="s">
        <v>590</v>
      </c>
      <c r="E61" s="26" t="s">
        <v>53</v>
      </c>
      <c r="F61" s="26"/>
      <c r="G61" s="30"/>
    </row>
    <row r="62" spans="2:7">
      <c r="B62" s="19" t="s">
        <v>587</v>
      </c>
      <c r="E62" s="26" t="s">
        <v>53</v>
      </c>
      <c r="F62" s="26"/>
      <c r="G62" s="30"/>
    </row>
    <row r="63" spans="2:7">
      <c r="B63" s="19" t="s">
        <v>540</v>
      </c>
      <c r="C63" s="26" t="s">
        <v>222</v>
      </c>
      <c r="D63" s="26" t="s">
        <v>540</v>
      </c>
      <c r="E63" s="26" t="s">
        <v>53</v>
      </c>
      <c r="F63" s="26" t="s">
        <v>541</v>
      </c>
      <c r="G63" s="30"/>
    </row>
    <row r="64" spans="2:7">
      <c r="B64" s="19" t="s">
        <v>580</v>
      </c>
      <c r="C64" s="26" t="s">
        <v>600</v>
      </c>
      <c r="D64" s="26" t="s">
        <v>599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588</v>
      </c>
      <c r="C66" s="26" t="s">
        <v>603</v>
      </c>
      <c r="D66" s="26" t="s">
        <v>332</v>
      </c>
      <c r="E66" s="26" t="s">
        <v>53</v>
      </c>
      <c r="F66" s="26"/>
      <c r="G66" s="30"/>
    </row>
    <row r="67" spans="2:10">
      <c r="B67" s="19" t="s">
        <v>589</v>
      </c>
      <c r="C67" s="26" t="s">
        <v>603</v>
      </c>
      <c r="D67" s="26" t="s">
        <v>602</v>
      </c>
      <c r="E67" s="26" t="s">
        <v>53</v>
      </c>
      <c r="F67" s="26"/>
      <c r="G67" s="30"/>
    </row>
    <row r="68" spans="2:10">
      <c r="B68" s="19" t="s">
        <v>598</v>
      </c>
      <c r="C68" s="26" t="s">
        <v>537</v>
      </c>
      <c r="D68" s="26" t="s">
        <v>597</v>
      </c>
      <c r="E68" s="26" t="s">
        <v>53</v>
      </c>
      <c r="F68" s="26"/>
      <c r="G68" s="30"/>
    </row>
    <row r="69" spans="2:10">
      <c r="B69" s="19" t="s">
        <v>586</v>
      </c>
      <c r="C69" s="26" t="s">
        <v>260</v>
      </c>
      <c r="D69" s="26" t="s">
        <v>595</v>
      </c>
      <c r="E69" s="26" t="s">
        <v>53</v>
      </c>
      <c r="F69" s="26" t="s">
        <v>596</v>
      </c>
      <c r="G69" s="30"/>
    </row>
    <row r="70" spans="2:10">
      <c r="B70" s="3" t="s">
        <v>581</v>
      </c>
      <c r="C70" s="26" t="s">
        <v>592</v>
      </c>
      <c r="D70" s="26" t="s">
        <v>591</v>
      </c>
      <c r="E70" s="26" t="s">
        <v>53</v>
      </c>
      <c r="F70" s="26" t="s">
        <v>593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475</v>
      </c>
      <c r="F74" s="14"/>
    </row>
    <row r="75" spans="2:10">
      <c r="E75" s="24" t="s">
        <v>419</v>
      </c>
    </row>
    <row r="76" spans="2:10">
      <c r="E76" s="24" t="s">
        <v>414</v>
      </c>
    </row>
    <row r="77" spans="2:10">
      <c r="E77" s="24" t="s">
        <v>214</v>
      </c>
    </row>
    <row r="78" spans="2:10">
      <c r="E78" s="24" t="s">
        <v>416</v>
      </c>
      <c r="J78" s="24" t="s">
        <v>430</v>
      </c>
    </row>
    <row r="79" spans="2:10">
      <c r="E79" s="24" t="s">
        <v>395</v>
      </c>
      <c r="J79" s="24" t="s">
        <v>474</v>
      </c>
    </row>
    <row r="80" spans="2:10" ht="13">
      <c r="E80" s="14" t="s">
        <v>609</v>
      </c>
    </row>
    <row r="81" spans="5:5" ht="13">
      <c r="E81" s="14" t="s">
        <v>608</v>
      </c>
    </row>
    <row r="83" spans="5:5">
      <c r="E83" s="24" t="s">
        <v>617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289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342</v>
      </c>
    </row>
    <row r="7" spans="1:3">
      <c r="B7" s="60" t="s">
        <v>157</v>
      </c>
    </row>
    <row r="8" spans="1:3" ht="13">
      <c r="C8" s="63" t="s">
        <v>290</v>
      </c>
    </row>
    <row r="12" spans="1:3" ht="13">
      <c r="C12" s="63" t="s">
        <v>343</v>
      </c>
    </row>
    <row r="13" spans="1:3">
      <c r="C13" s="60" t="s">
        <v>443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5"/>
  <sheetViews>
    <sheetView topLeftCell="A42" zoomScale="150" zoomScaleNormal="150" workbookViewId="0">
      <selection activeCell="C51" sqref="C51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575</v>
      </c>
    </row>
    <row r="3" spans="1:3">
      <c r="B3" s="60" t="s">
        <v>217</v>
      </c>
      <c r="C3" s="60" t="s">
        <v>283</v>
      </c>
    </row>
    <row r="4" spans="1:3">
      <c r="B4" s="60" t="s">
        <v>223</v>
      </c>
      <c r="C4" s="60" t="s">
        <v>284</v>
      </c>
    </row>
    <row r="5" spans="1:3">
      <c r="B5" s="60" t="s">
        <v>1</v>
      </c>
      <c r="C5" s="60" t="s">
        <v>285</v>
      </c>
    </row>
    <row r="6" spans="1:3">
      <c r="B6" s="60" t="s">
        <v>323</v>
      </c>
      <c r="C6" s="60" t="s">
        <v>618</v>
      </c>
    </row>
    <row r="7" spans="1:3">
      <c r="B7" s="60" t="s">
        <v>157</v>
      </c>
    </row>
    <row r="8" spans="1:3" ht="13">
      <c r="C8" s="63" t="s">
        <v>286</v>
      </c>
    </row>
    <row r="9" spans="1:3">
      <c r="C9" s="60" t="s">
        <v>287</v>
      </c>
    </row>
    <row r="11" spans="1:3" ht="13">
      <c r="C11" s="63" t="s">
        <v>324</v>
      </c>
    </row>
    <row r="12" spans="1:3" ht="13">
      <c r="C12" s="63"/>
    </row>
    <row r="13" spans="1:3" ht="13">
      <c r="C13" s="63" t="s">
        <v>369</v>
      </c>
    </row>
    <row r="14" spans="1:3">
      <c r="C14" s="60" t="s">
        <v>368</v>
      </c>
    </row>
    <row r="15" spans="1:3" ht="13">
      <c r="C15" s="63"/>
    </row>
    <row r="16" spans="1:3" ht="13">
      <c r="C16" s="63" t="s">
        <v>370</v>
      </c>
    </row>
    <row r="17" spans="3:3">
      <c r="C17" s="60" t="s">
        <v>368</v>
      </c>
    </row>
    <row r="19" spans="3:3" ht="13">
      <c r="C19" s="63" t="s">
        <v>341</v>
      </c>
    </row>
    <row r="20" spans="3:3" ht="13">
      <c r="C20" s="63"/>
    </row>
    <row r="21" spans="3:3" ht="13">
      <c r="C21" s="63" t="s">
        <v>348</v>
      </c>
    </row>
    <row r="22" spans="3:3">
      <c r="C22" s="60" t="s">
        <v>349</v>
      </c>
    </row>
    <row r="50" spans="3:3" ht="13">
      <c r="C50" s="63" t="s">
        <v>620</v>
      </c>
    </row>
    <row r="51" spans="3:3">
      <c r="C51" s="60" t="s">
        <v>381</v>
      </c>
    </row>
    <row r="52" spans="3:3">
      <c r="C52" s="60" t="s">
        <v>383</v>
      </c>
    </row>
    <row r="53" spans="3:3">
      <c r="C53" s="60" t="s">
        <v>619</v>
      </c>
    </row>
    <row r="55" spans="3:3" ht="13">
      <c r="C55" s="63" t="s">
        <v>382</v>
      </c>
    </row>
    <row r="56" spans="3:3">
      <c r="C56" s="60" t="s">
        <v>384</v>
      </c>
    </row>
    <row r="59" spans="3:3" ht="13">
      <c r="C59" s="63" t="s">
        <v>610</v>
      </c>
    </row>
    <row r="60" spans="3:3">
      <c r="C60" s="60" t="s">
        <v>611</v>
      </c>
    </row>
    <row r="61" spans="3:3">
      <c r="C61" s="60" t="s">
        <v>612</v>
      </c>
    </row>
    <row r="62" spans="3:3">
      <c r="C62" s="60" t="s">
        <v>613</v>
      </c>
    </row>
    <row r="63" spans="3:3">
      <c r="C63" s="60" t="s">
        <v>614</v>
      </c>
    </row>
    <row r="65" spans="3:3" ht="13">
      <c r="C65" s="63" t="s">
        <v>615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455</v>
      </c>
    </row>
    <row r="3" spans="1:3">
      <c r="B3" s="60" t="s">
        <v>1</v>
      </c>
      <c r="C3" s="60" t="s">
        <v>456</v>
      </c>
    </row>
    <row r="4" spans="1:3">
      <c r="B4" s="60" t="s">
        <v>338</v>
      </c>
      <c r="C4" s="60" t="s">
        <v>457</v>
      </c>
    </row>
    <row r="5" spans="1:3">
      <c r="B5" s="60" t="s">
        <v>323</v>
      </c>
      <c r="C5" s="60" t="s">
        <v>458</v>
      </c>
    </row>
    <row r="6" spans="1:3">
      <c r="B6" s="60"/>
      <c r="C6" s="60" t="s">
        <v>543</v>
      </c>
    </row>
    <row r="7" spans="1:3">
      <c r="B7" s="60" t="s">
        <v>157</v>
      </c>
    </row>
    <row r="8" spans="1:3" ht="13">
      <c r="B8" s="60"/>
      <c r="C8" s="63" t="s">
        <v>459</v>
      </c>
    </row>
    <row r="11" spans="1:3" ht="13">
      <c r="C11" s="63" t="s">
        <v>544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258</v>
      </c>
    </row>
    <row r="3" spans="1:3">
      <c r="B3" s="60" t="s">
        <v>223</v>
      </c>
      <c r="C3" s="60" t="s">
        <v>268</v>
      </c>
    </row>
    <row r="4" spans="1:3">
      <c r="B4" s="60" t="s">
        <v>270</v>
      </c>
      <c r="C4" s="60" t="s">
        <v>271</v>
      </c>
    </row>
    <row r="5" spans="1:3">
      <c r="B5" s="60" t="s">
        <v>157</v>
      </c>
    </row>
    <row r="6" spans="1:3" ht="13">
      <c r="C6" s="63" t="s">
        <v>269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zoomScale="175" zoomScaleNormal="175" workbookViewId="0">
      <pane xSplit="2" ySplit="2" topLeftCell="CU24" activePane="bottomRight" state="frozen"/>
      <selection pane="topRight" activeCell="C1" sqref="C1"/>
      <selection pane="bottomLeft" activeCell="A3" sqref="A3"/>
      <selection pane="bottomRight" activeCell="CY26" sqref="CY26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4" width="8.1796875" style="6" customWidth="1"/>
    <col min="75" max="82" width="7.1796875" style="6" bestFit="1" customWidth="1"/>
    <col min="83" max="83" width="7.7265625" style="6" customWidth="1"/>
    <col min="84" max="85" width="7.453125" style="6" bestFit="1" customWidth="1"/>
    <col min="86" max="93" width="7.7265625" style="6" customWidth="1"/>
    <col min="94" max="106" width="7.7265625" style="7" customWidth="1"/>
    <col min="107" max="113" width="8.54296875" style="7" customWidth="1"/>
    <col min="114" max="16384" width="9.1796875" style="7"/>
  </cols>
  <sheetData>
    <row r="1" spans="1:145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420</v>
      </c>
      <c r="BT2" s="41" t="s">
        <v>421</v>
      </c>
      <c r="BU2" s="41" t="s">
        <v>422</v>
      </c>
      <c r="BV2" s="41" t="s">
        <v>423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3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>
        <v>4218</v>
      </c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29" si="2">SUM(BS3:BV3)</f>
        <v>4218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3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>
        <v>834</v>
      </c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834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3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>
        <v>1381</v>
      </c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1381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3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>
        <v>1432</v>
      </c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1432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3" customHeight="1">
      <c r="A7" s="35"/>
      <c r="B7" s="35" t="s">
        <v>424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>
        <v>59</v>
      </c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59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3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>
        <v>3577</v>
      </c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3577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3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>
        <v>543</v>
      </c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543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3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>
        <v>1209</v>
      </c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1209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3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S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si="9"/>
        <v>13253</v>
      </c>
      <c r="BT11" s="43">
        <f t="shared" ref="BT11" si="10">+BP11*1.01</f>
        <v>11151.41</v>
      </c>
      <c r="BU11" s="43">
        <f t="shared" ref="BU11" si="11">+BQ11*1.01</f>
        <v>10810.03</v>
      </c>
      <c r="BV11" s="43">
        <f t="shared" ref="BV11" si="12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3">SUM(G11:J11)</f>
        <v>21471</v>
      </c>
      <c r="CJ11" s="43">
        <f t="shared" ref="CJ11:CJ12" si="14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5">SUM(CU3:CU10)</f>
        <v>46954</v>
      </c>
      <c r="CV11" s="45">
        <f t="shared" si="15"/>
        <v>44766</v>
      </c>
      <c r="CW11" s="45">
        <f t="shared" si="15"/>
        <v>40428</v>
      </c>
      <c r="CX11" s="45">
        <f>SUM(BO11:BR11)</f>
        <v>48406</v>
      </c>
      <c r="CY11" s="45">
        <f t="shared" si="2"/>
        <v>49396.86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3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>
        <v>1744</v>
      </c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6">SUM(C12:F12)</f>
        <v>11804</v>
      </c>
      <c r="CI12" s="43">
        <f t="shared" si="13"/>
        <v>11315</v>
      </c>
      <c r="CJ12" s="43">
        <f t="shared" si="14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7">SUM(AY12:BB12)</f>
        <v>8873</v>
      </c>
      <c r="CU12" s="45">
        <f t="shared" ref="CU12" si="18">SUM(BC12:BF12)</f>
        <v>9052</v>
      </c>
      <c r="CV12" s="45">
        <f t="shared" ref="CV12" si="19">SUM(BG12:BJ12)</f>
        <v>8186</v>
      </c>
      <c r="CW12" s="45">
        <f t="shared" ref="CW12" si="20">SUM(BK12:BN12)</f>
        <v>7594</v>
      </c>
      <c r="CX12" s="45">
        <f>SUM(BO12:BR12)</f>
        <v>6967</v>
      </c>
      <c r="CY12" s="45">
        <f t="shared" si="2"/>
        <v>1744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3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1">+AQ12+AQ11</f>
        <v>14659</v>
      </c>
      <c r="AR13" s="43">
        <f>+AR12+AR11</f>
        <v>15215</v>
      </c>
      <c r="AS13" s="43">
        <f t="shared" ref="AS13:AU13" si="22">+AS12+AS11</f>
        <v>14680</v>
      </c>
      <c r="AT13" s="43">
        <f t="shared" si="22"/>
        <v>15102</v>
      </c>
      <c r="AU13" s="43">
        <f t="shared" si="22"/>
        <v>15393</v>
      </c>
      <c r="AV13" s="43">
        <f t="shared" ref="AV13:BE13" si="23">+AV12+AV11</f>
        <v>14909</v>
      </c>
      <c r="AW13" s="43">
        <f t="shared" si="23"/>
        <v>14484</v>
      </c>
      <c r="AX13" s="43">
        <f t="shared" si="23"/>
        <v>14907</v>
      </c>
      <c r="AY13" s="43">
        <f t="shared" si="23"/>
        <v>15914</v>
      </c>
      <c r="AZ13" s="43">
        <f t="shared" si="23"/>
        <v>13606</v>
      </c>
      <c r="BA13" s="43">
        <f t="shared" si="23"/>
        <v>13403</v>
      </c>
      <c r="BB13" s="43">
        <f t="shared" si="23"/>
        <v>13627</v>
      </c>
      <c r="BC13" s="43">
        <f t="shared" si="23"/>
        <v>14866</v>
      </c>
      <c r="BD13" s="43">
        <f t="shared" si="23"/>
        <v>13157</v>
      </c>
      <c r="BE13" s="43">
        <f t="shared" si="23"/>
        <v>14010</v>
      </c>
      <c r="BF13" s="43">
        <f t="shared" ref="BF13:BK13" si="24">+BF12+BF11</f>
        <v>13973</v>
      </c>
      <c r="BG13" s="43">
        <f t="shared" si="24"/>
        <v>14962</v>
      </c>
      <c r="BH13" s="43">
        <f t="shared" si="24"/>
        <v>12343</v>
      </c>
      <c r="BI13" s="43">
        <f t="shared" si="24"/>
        <v>12961</v>
      </c>
      <c r="BJ13" s="43">
        <f t="shared" si="24"/>
        <v>12686</v>
      </c>
      <c r="BK13" s="43">
        <f t="shared" si="24"/>
        <v>13409</v>
      </c>
      <c r="BL13" s="43">
        <f t="shared" ref="BL13:BN13" si="25">+BL12+BL11</f>
        <v>11288</v>
      </c>
      <c r="BM13" s="43">
        <f t="shared" si="25"/>
        <v>11345</v>
      </c>
      <c r="BN13" s="43">
        <f t="shared" si="25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>+BS11+BS12</f>
        <v>14997</v>
      </c>
      <c r="BT13" s="43">
        <f t="shared" ref="BT13:BV13" si="26">+BP13*1.01</f>
        <v>12738.12</v>
      </c>
      <c r="BU13" s="43">
        <f t="shared" si="26"/>
        <v>12634.09</v>
      </c>
      <c r="BV13" s="43">
        <f t="shared" si="26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56415.080000000009</v>
      </c>
      <c r="CZ13" s="45">
        <f>+CY13*0.95</f>
        <v>53594.326000000008</v>
      </c>
      <c r="DA13" s="45">
        <f t="shared" ref="DA13:DI13" si="27">+CZ13*0.95</f>
        <v>50914.609700000008</v>
      </c>
      <c r="DB13" s="45">
        <f t="shared" si="27"/>
        <v>48368.879215000008</v>
      </c>
      <c r="DC13" s="45">
        <f t="shared" si="27"/>
        <v>45950.435254250006</v>
      </c>
      <c r="DD13" s="45">
        <f t="shared" si="27"/>
        <v>43652.913491537503</v>
      </c>
      <c r="DE13" s="45">
        <f t="shared" si="27"/>
        <v>41470.26781696063</v>
      </c>
      <c r="DF13" s="45">
        <f t="shared" si="27"/>
        <v>39396.754426112595</v>
      </c>
      <c r="DG13" s="45">
        <f t="shared" si="27"/>
        <v>37426.916704806965</v>
      </c>
      <c r="DH13" s="45">
        <f t="shared" si="27"/>
        <v>35555.570869566618</v>
      </c>
      <c r="DI13" s="45">
        <f t="shared" si="27"/>
        <v>33777.792326088289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3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3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v>1158</v>
      </c>
      <c r="BT15" s="43">
        <f t="shared" ref="BT15:BV15" si="28">+BP15*0.5</f>
        <v>1121</v>
      </c>
      <c r="BU15" s="43">
        <f t="shared" si="28"/>
        <v>-161</v>
      </c>
      <c r="BV15" s="43">
        <f t="shared" si="28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29">SUM(AY15:BB15)</f>
        <v>18747</v>
      </c>
      <c r="CU15" s="45">
        <f t="shared" ref="CU15:CU21" si="30">SUM(BC15:BF15)</f>
        <v>15054</v>
      </c>
      <c r="CV15" s="45">
        <f t="shared" ref="CV15:CV21" si="31">SUM(BG15:BJ15)</f>
        <v>12322</v>
      </c>
      <c r="CW15" s="45">
        <f t="shared" ref="CW15:CW21" si="32">SUM(BK15:BN15)</f>
        <v>8664</v>
      </c>
      <c r="CX15" s="45">
        <f t="shared" ref="CX15:CX31" si="33">SUM(BO15:BR15)</f>
        <v>5482</v>
      </c>
      <c r="CY15" s="45">
        <f t="shared" si="2"/>
        <v>2819.5</v>
      </c>
      <c r="CZ15" s="45">
        <f>+CY15*0.8</f>
        <v>2255.6</v>
      </c>
      <c r="DA15" s="45">
        <f t="shared" ref="DA15:DI15" si="34">+CZ15*0.8</f>
        <v>1804.48</v>
      </c>
      <c r="DB15" s="45">
        <f t="shared" si="34"/>
        <v>1443.5840000000001</v>
      </c>
      <c r="DC15" s="45">
        <f t="shared" si="34"/>
        <v>1154.8672000000001</v>
      </c>
      <c r="DD15" s="45">
        <f t="shared" si="34"/>
        <v>923.89376000000016</v>
      </c>
      <c r="DE15" s="45">
        <f t="shared" si="34"/>
        <v>739.11500800000022</v>
      </c>
      <c r="DF15" s="45">
        <f t="shared" si="34"/>
        <v>591.29200640000022</v>
      </c>
      <c r="DG15" s="45">
        <f t="shared" si="34"/>
        <v>473.03360512000017</v>
      </c>
      <c r="DH15" s="45">
        <f t="shared" si="34"/>
        <v>378.42688409600015</v>
      </c>
      <c r="DI15" s="45">
        <f t="shared" si="34"/>
        <v>302.74150727680012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3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v>5695</v>
      </c>
      <c r="BT16" s="43">
        <f t="shared" ref="BT16:BV16" si="35">+BP16*1.2</f>
        <v>7101.5999999999995</v>
      </c>
      <c r="BU16" s="43">
        <f t="shared" si="35"/>
        <v>6543.5999999999995</v>
      </c>
      <c r="BV16" s="43">
        <f t="shared" si="35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29"/>
        <v>1873</v>
      </c>
      <c r="CU16" s="45">
        <f t="shared" si="30"/>
        <v>4838</v>
      </c>
      <c r="CV16" s="45">
        <f t="shared" si="31"/>
        <v>11299</v>
      </c>
      <c r="CW16" s="45">
        <f t="shared" si="32"/>
        <v>18750</v>
      </c>
      <c r="CX16" s="45">
        <f t="shared" si="33"/>
        <v>23301</v>
      </c>
      <c r="CY16" s="45">
        <f>SUM(BS16:BV16)</f>
        <v>27640.6</v>
      </c>
      <c r="CZ16" s="45">
        <f>+CY16*1.3</f>
        <v>35932.78</v>
      </c>
      <c r="DA16" s="45">
        <f>+CZ16*1.3</f>
        <v>46712.614000000001</v>
      </c>
      <c r="DB16" s="45">
        <f>+DA16*1.2</f>
        <v>56055.1368</v>
      </c>
      <c r="DC16" s="45">
        <f>+DB16*1.1</f>
        <v>61660.650480000004</v>
      </c>
      <c r="DD16" s="45">
        <f>+DC16*1.1</f>
        <v>67826.715528000015</v>
      </c>
      <c r="DE16" s="45">
        <f t="shared" ref="DE16:DI17" si="36">+DD16*0.7</f>
        <v>47478.700869600005</v>
      </c>
      <c r="DF16" s="45">
        <f t="shared" si="36"/>
        <v>33235.090608719998</v>
      </c>
      <c r="DG16" s="45">
        <f t="shared" si="36"/>
        <v>23264.563426103996</v>
      </c>
      <c r="DH16" s="45">
        <f t="shared" si="36"/>
        <v>16285.194398272795</v>
      </c>
      <c r="DI16" s="45">
        <f t="shared" si="36"/>
        <v>11399.636078790956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3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v>32721</v>
      </c>
      <c r="BT17" s="43">
        <f>+BP17*1.15</f>
        <v>33206.25</v>
      </c>
      <c r="BU17" s="43">
        <f>+BQ17*1.1</f>
        <v>32784.400000000001</v>
      </c>
      <c r="BV17" s="43">
        <f>+BR17*1.1</f>
        <v>37238.300000000003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29"/>
        <v>21211</v>
      </c>
      <c r="CU17" s="45">
        <f t="shared" si="30"/>
        <v>33705</v>
      </c>
      <c r="CV17" s="45">
        <f t="shared" si="31"/>
        <v>59750</v>
      </c>
      <c r="CW17" s="45">
        <f t="shared" si="32"/>
        <v>95718</v>
      </c>
      <c r="CX17" s="45">
        <f t="shared" si="33"/>
        <v>120342</v>
      </c>
      <c r="CY17" s="45">
        <f>SUM(BS17:BV17)</f>
        <v>135949.95000000001</v>
      </c>
      <c r="CZ17" s="45">
        <f>+CY17*1.05</f>
        <v>142747.44750000001</v>
      </c>
      <c r="DA17" s="45">
        <f>+CZ17*1.05</f>
        <v>149884.81987500002</v>
      </c>
      <c r="DB17" s="45">
        <f>+DA17*1.05</f>
        <v>157379.06086875004</v>
      </c>
      <c r="DC17" s="45">
        <f>+DB17*1.05</f>
        <v>165248.01391218754</v>
      </c>
      <c r="DD17" s="45">
        <f>+DC17*1.05</f>
        <v>173510.41460779693</v>
      </c>
      <c r="DE17" s="45">
        <f t="shared" si="36"/>
        <v>121457.29022545785</v>
      </c>
      <c r="DF17" s="45">
        <f t="shared" si="36"/>
        <v>85020.103157820486</v>
      </c>
      <c r="DG17" s="45">
        <f t="shared" si="36"/>
        <v>59514.072210474333</v>
      </c>
      <c r="DH17" s="45">
        <f t="shared" si="36"/>
        <v>41659.850547332033</v>
      </c>
      <c r="DI17" s="45">
        <f t="shared" si="36"/>
        <v>29161.895383132422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3" customHeight="1">
      <c r="A18" s="40"/>
      <c r="B18" s="46" t="s">
        <v>573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604</v>
      </c>
      <c r="CZ18" s="56" t="s">
        <v>605</v>
      </c>
      <c r="DA18" s="56" t="s">
        <v>605</v>
      </c>
      <c r="DB18" s="56" t="s">
        <v>606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3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6"/>
        <v>1844</v>
      </c>
      <c r="CI19" s="43">
        <f t="shared" ref="CI19:CI30" si="37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3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v>17360</v>
      </c>
      <c r="BT20" s="43">
        <f>BS20+500</f>
        <v>17860</v>
      </c>
      <c r="BU20" s="43">
        <f>+BQ20*1.1</f>
        <v>19034.400000000001</v>
      </c>
      <c r="BV20" s="43">
        <f>+BR20*1.1</f>
        <v>21852.600000000002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29"/>
        <v>0</v>
      </c>
      <c r="CU20" s="45">
        <f t="shared" si="30"/>
        <v>0</v>
      </c>
      <c r="CV20" s="45">
        <f t="shared" si="31"/>
        <v>6188</v>
      </c>
      <c r="CW20" s="45">
        <f t="shared" si="32"/>
        <v>31343</v>
      </c>
      <c r="CX20" s="45">
        <f t="shared" si="33"/>
        <v>58206</v>
      </c>
      <c r="CY20" s="45">
        <f>SUM(BS20:BV20)</f>
        <v>76107</v>
      </c>
      <c r="CZ20" s="45">
        <f>+CY20*1.05</f>
        <v>79912.350000000006</v>
      </c>
      <c r="DA20" s="45">
        <f>+CZ20*1.05</f>
        <v>83907.967500000013</v>
      </c>
      <c r="DB20" s="45">
        <f>+DA20*1.05</f>
        <v>88103.365875000018</v>
      </c>
      <c r="DC20" s="45">
        <f>+DB20*1.05</f>
        <v>92508.534168750019</v>
      </c>
      <c r="DD20" s="45">
        <f>+DC20*1.05</f>
        <v>97133.960877187521</v>
      </c>
      <c r="DE20" s="45">
        <f>+DD20*0.7</f>
        <v>67993.772614031259</v>
      </c>
      <c r="DF20" s="45">
        <f>+DE20*0.7</f>
        <v>47595.640829821881</v>
      </c>
      <c r="DG20" s="45">
        <f>+DF20*0.7</f>
        <v>33316.948580875316</v>
      </c>
      <c r="DH20" s="45">
        <f>+DG20*0.7</f>
        <v>23321.864006612719</v>
      </c>
      <c r="DI20" s="45">
        <f>+DH20*0.7</f>
        <v>16325.304804628902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3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v>1064</v>
      </c>
      <c r="BT21" s="43">
        <f t="shared" ref="BT21:BV21" si="38">+BP21*0.5</f>
        <v>1122.5</v>
      </c>
      <c r="BU21" s="43">
        <f t="shared" si="38"/>
        <v>748.5</v>
      </c>
      <c r="BV21" s="43">
        <f t="shared" si="38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29"/>
        <v>5608</v>
      </c>
      <c r="CU21" s="45">
        <f t="shared" si="30"/>
        <v>8400</v>
      </c>
      <c r="CV21" s="45">
        <f t="shared" si="31"/>
        <v>10676</v>
      </c>
      <c r="CW21" s="45">
        <f t="shared" si="32"/>
        <v>10289</v>
      </c>
      <c r="CX21" s="45">
        <f t="shared" si="33"/>
        <v>6940</v>
      </c>
      <c r="CY21" s="45">
        <f t="shared" si="2"/>
        <v>3705</v>
      </c>
      <c r="CZ21" s="45">
        <f>+CY21*0.8</f>
        <v>2964</v>
      </c>
      <c r="DA21" s="45">
        <f t="shared" ref="DA21:DI21" si="39">+CZ21*0.8</f>
        <v>2371.2000000000003</v>
      </c>
      <c r="DB21" s="45">
        <f t="shared" si="39"/>
        <v>1896.9600000000003</v>
      </c>
      <c r="DC21" s="45">
        <f t="shared" si="39"/>
        <v>1517.5680000000002</v>
      </c>
      <c r="DD21" s="45">
        <f t="shared" si="39"/>
        <v>1214.0544000000002</v>
      </c>
      <c r="DE21" s="45">
        <f t="shared" si="39"/>
        <v>971.24352000000022</v>
      </c>
      <c r="DF21" s="45">
        <f t="shared" si="39"/>
        <v>776.99481600000024</v>
      </c>
      <c r="DG21" s="45">
        <f t="shared" si="39"/>
        <v>621.59585280000022</v>
      </c>
      <c r="DH21" s="45">
        <f t="shared" si="39"/>
        <v>497.27668224000018</v>
      </c>
      <c r="DI21" s="45">
        <f t="shared" si="39"/>
        <v>397.82134579200016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3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/>
      <c r="CY22" s="45"/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3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v>473</v>
      </c>
      <c r="BT23" s="43">
        <f t="shared" ref="BT23:BV23" si="40">+BP23</f>
        <v>533</v>
      </c>
      <c r="BU23" s="43">
        <f t="shared" si="40"/>
        <v>492</v>
      </c>
      <c r="BV23" s="43">
        <f t="shared" si="40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6"/>
        <v>2391</v>
      </c>
      <c r="CI23" s="43">
        <f t="shared" si="37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1">SUM(AY23:BB23)</f>
        <v>4031</v>
      </c>
      <c r="CU23" s="45">
        <f t="shared" ref="CU23" si="42">SUM(BC23:BF23)</f>
        <v>3594</v>
      </c>
      <c r="CV23" s="45">
        <f t="shared" ref="CV23" si="43">SUM(BG23:BJ23)</f>
        <v>3225</v>
      </c>
      <c r="CW23" s="45">
        <f t="shared" ref="CW23" si="44">SUM(BK23:BN23)</f>
        <v>2312</v>
      </c>
      <c r="CX23" s="45">
        <f t="shared" si="33"/>
        <v>2120</v>
      </c>
      <c r="CY23" s="45">
        <f t="shared" si="2"/>
        <v>2010</v>
      </c>
      <c r="CZ23" s="45">
        <f>+CY23*0.95</f>
        <v>1909.5</v>
      </c>
      <c r="DA23" s="45">
        <f t="shared" ref="DA23:DI23" si="45">+CZ23*0.95</f>
        <v>1814.0249999999999</v>
      </c>
      <c r="DB23" s="45">
        <f t="shared" si="45"/>
        <v>1723.3237499999998</v>
      </c>
      <c r="DC23" s="45">
        <f t="shared" si="45"/>
        <v>1637.1575624999998</v>
      </c>
      <c r="DD23" s="45">
        <f t="shared" si="45"/>
        <v>1555.2996843749997</v>
      </c>
      <c r="DE23" s="45">
        <f t="shared" si="45"/>
        <v>1477.5347001562498</v>
      </c>
      <c r="DF23" s="45">
        <f t="shared" si="45"/>
        <v>1403.6579651484371</v>
      </c>
      <c r="DG23" s="45">
        <f t="shared" si="45"/>
        <v>1333.4750668910153</v>
      </c>
      <c r="DH23" s="45">
        <f t="shared" si="45"/>
        <v>1266.8013135464646</v>
      </c>
      <c r="DI23" s="45">
        <f t="shared" si="45"/>
        <v>1203.4612478691413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3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/>
      <c r="CY24" s="45"/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3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6">+BQ25</f>
        <v>2003</v>
      </c>
      <c r="BS25" s="43">
        <v>1879</v>
      </c>
      <c r="BT25" s="43">
        <f t="shared" si="46"/>
        <v>1879</v>
      </c>
      <c r="BU25" s="43">
        <f t="shared" si="46"/>
        <v>1879</v>
      </c>
      <c r="BV25" s="43">
        <f t="shared" si="46"/>
        <v>1879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6"/>
        <v>6396</v>
      </c>
      <c r="CI25" s="43">
        <f t="shared" si="37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47">SUM(AY25:BB25)</f>
        <v>7203</v>
      </c>
      <c r="CU25" s="45">
        <f t="shared" ref="CU25:CU39" si="48">SUM(BC25:BF25)</f>
        <v>7221</v>
      </c>
      <c r="CV25" s="45">
        <f t="shared" ref="CV25:CV39" si="49">SUM(BG25:BJ25)</f>
        <v>8308</v>
      </c>
      <c r="CW25" s="45">
        <f t="shared" ref="CW25:CW34" si="50">SUM(BK25:BN25)</f>
        <v>7958</v>
      </c>
      <c r="CX25" s="45">
        <f t="shared" si="33"/>
        <v>7760</v>
      </c>
      <c r="CY25" s="45">
        <f t="shared" si="2"/>
        <v>7516</v>
      </c>
      <c r="CZ25" s="45">
        <f>+CY25*0.95</f>
        <v>7140.2</v>
      </c>
      <c r="DA25" s="45">
        <f t="shared" ref="DA25:DI29" si="51">+CZ25*0.95</f>
        <v>6783.19</v>
      </c>
      <c r="DB25" s="45">
        <f t="shared" si="51"/>
        <v>6444.0304999999989</v>
      </c>
      <c r="DC25" s="45">
        <f t="shared" si="51"/>
        <v>6121.8289749999985</v>
      </c>
      <c r="DD25" s="45">
        <f t="shared" si="51"/>
        <v>5815.7375262499982</v>
      </c>
      <c r="DE25" s="45">
        <f t="shared" si="51"/>
        <v>5524.9506499374984</v>
      </c>
      <c r="DF25" s="45">
        <f t="shared" si="51"/>
        <v>5248.7031174406229</v>
      </c>
      <c r="DG25" s="45">
        <f t="shared" si="51"/>
        <v>4986.2679615685911</v>
      </c>
      <c r="DH25" s="45">
        <f t="shared" si="51"/>
        <v>4736.9545634901615</v>
      </c>
      <c r="DI25" s="45">
        <f t="shared" si="51"/>
        <v>4500.1068353156534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3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v>554</v>
      </c>
      <c r="BT26" s="43">
        <f t="shared" ref="BT26:BV26" si="52">+BS26</f>
        <v>554</v>
      </c>
      <c r="BU26" s="43">
        <f t="shared" si="52"/>
        <v>554</v>
      </c>
      <c r="BV26" s="43">
        <f t="shared" si="52"/>
        <v>554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47"/>
        <v>0</v>
      </c>
      <c r="CU26" s="45">
        <f t="shared" si="48"/>
        <v>2112</v>
      </c>
      <c r="CV26" s="45">
        <f t="shared" si="49"/>
        <v>2338</v>
      </c>
      <c r="CW26" s="45">
        <f t="shared" si="50"/>
        <v>2422</v>
      </c>
      <c r="CX26" s="45">
        <f t="shared" si="33"/>
        <v>2454</v>
      </c>
      <c r="CY26" s="45">
        <f t="shared" si="2"/>
        <v>2216</v>
      </c>
      <c r="CZ26" s="45">
        <f>+CY26*0.95</f>
        <v>2105.1999999999998</v>
      </c>
      <c r="DA26" s="45">
        <f t="shared" si="51"/>
        <v>1999.9399999999998</v>
      </c>
      <c r="DB26" s="45">
        <f t="shared" si="51"/>
        <v>1899.9429999999998</v>
      </c>
      <c r="DC26" s="45">
        <f t="shared" si="51"/>
        <v>1804.9458499999996</v>
      </c>
      <c r="DD26" s="45">
        <f t="shared" si="51"/>
        <v>1714.6985574999997</v>
      </c>
      <c r="DE26" s="45">
        <f t="shared" si="51"/>
        <v>1628.9636296249996</v>
      </c>
      <c r="DF26" s="45">
        <f t="shared" si="51"/>
        <v>1547.5154481437496</v>
      </c>
      <c r="DG26" s="45">
        <f t="shared" si="51"/>
        <v>1470.1396757365621</v>
      </c>
      <c r="DH26" s="45">
        <f t="shared" si="51"/>
        <v>1396.632691949734</v>
      </c>
      <c r="DI26" s="45">
        <f t="shared" si="51"/>
        <v>1326.8010573522472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3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v>342</v>
      </c>
      <c r="BT27" s="43">
        <f t="shared" ref="BT27:BV29" si="53">+BS27</f>
        <v>342</v>
      </c>
      <c r="BU27" s="43">
        <f t="shared" si="53"/>
        <v>342</v>
      </c>
      <c r="BV27" s="43">
        <f t="shared" si="53"/>
        <v>342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47"/>
        <v>1462</v>
      </c>
      <c r="CU27" s="45">
        <f t="shared" si="48"/>
        <v>637</v>
      </c>
      <c r="CV27" s="45">
        <f t="shared" si="49"/>
        <v>759</v>
      </c>
      <c r="CW27" s="45">
        <f t="shared" si="50"/>
        <v>1061</v>
      </c>
      <c r="CX27" s="45">
        <f t="shared" si="33"/>
        <v>1306</v>
      </c>
      <c r="CY27" s="45">
        <f t="shared" si="2"/>
        <v>1368</v>
      </c>
      <c r="CZ27" s="45">
        <f>+CY27*0.95</f>
        <v>1299.5999999999999</v>
      </c>
      <c r="DA27" s="45">
        <f t="shared" si="51"/>
        <v>1234.6199999999999</v>
      </c>
      <c r="DB27" s="45">
        <f t="shared" si="51"/>
        <v>1172.8889999999999</v>
      </c>
      <c r="DC27" s="45">
        <f t="shared" si="51"/>
        <v>1114.2445499999999</v>
      </c>
      <c r="DD27" s="45">
        <f t="shared" si="51"/>
        <v>1058.5323224999997</v>
      </c>
      <c r="DE27" s="45">
        <f t="shared" si="51"/>
        <v>1005.6057063749997</v>
      </c>
      <c r="DF27" s="45">
        <f t="shared" si="51"/>
        <v>955.32542105624975</v>
      </c>
      <c r="DG27" s="45">
        <f t="shared" si="51"/>
        <v>907.55915000343725</v>
      </c>
      <c r="DH27" s="45">
        <f t="shared" si="51"/>
        <v>862.18119250326538</v>
      </c>
      <c r="DI27" s="45">
        <f t="shared" si="51"/>
        <v>819.07213287810202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3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v>386</v>
      </c>
      <c r="BT28" s="43">
        <f t="shared" si="53"/>
        <v>386</v>
      </c>
      <c r="BU28" s="43">
        <f t="shared" si="53"/>
        <v>386</v>
      </c>
      <c r="BV28" s="43">
        <f t="shared" si="53"/>
        <v>386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47"/>
        <v>997</v>
      </c>
      <c r="CU28" s="45">
        <f t="shared" si="48"/>
        <v>247</v>
      </c>
      <c r="CV28" s="45">
        <f t="shared" si="49"/>
        <v>301</v>
      </c>
      <c r="CW28" s="45">
        <f t="shared" si="50"/>
        <v>335</v>
      </c>
      <c r="CX28" s="45">
        <f t="shared" si="33"/>
        <v>618</v>
      </c>
      <c r="CY28" s="45">
        <f t="shared" si="2"/>
        <v>1544</v>
      </c>
      <c r="CZ28" s="45">
        <f>+CY28*0.95</f>
        <v>1466.8</v>
      </c>
      <c r="DA28" s="45">
        <f t="shared" si="51"/>
        <v>1393.4599999999998</v>
      </c>
      <c r="DB28" s="45">
        <f t="shared" si="51"/>
        <v>1323.7869999999998</v>
      </c>
      <c r="DC28" s="45">
        <f t="shared" si="51"/>
        <v>1257.5976499999997</v>
      </c>
      <c r="DD28" s="45">
        <f t="shared" si="51"/>
        <v>1194.7177674999996</v>
      </c>
      <c r="DE28" s="45">
        <f t="shared" si="51"/>
        <v>1134.9818791249995</v>
      </c>
      <c r="DF28" s="45">
        <f t="shared" si="51"/>
        <v>1078.2327851687494</v>
      </c>
      <c r="DG28" s="45">
        <f t="shared" si="51"/>
        <v>1024.3211459103118</v>
      </c>
      <c r="DH28" s="45">
        <f t="shared" si="51"/>
        <v>973.10508861479616</v>
      </c>
      <c r="DI28" s="45">
        <f t="shared" si="51"/>
        <v>924.44983418405627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3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>1312+2921-BS25-BS26-BS27</f>
        <v>1458</v>
      </c>
      <c r="BT29" s="43">
        <f t="shared" si="53"/>
        <v>1458</v>
      </c>
      <c r="BU29" s="43">
        <f t="shared" si="53"/>
        <v>1458</v>
      </c>
      <c r="BV29" s="43">
        <f t="shared" si="53"/>
        <v>1458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47"/>
        <v>9264</v>
      </c>
      <c r="CU29" s="45">
        <f t="shared" si="48"/>
        <v>8986</v>
      </c>
      <c r="CV29" s="45">
        <f t="shared" si="49"/>
        <v>8836</v>
      </c>
      <c r="CW29" s="45">
        <f t="shared" si="50"/>
        <v>5387</v>
      </c>
      <c r="CX29" s="45">
        <f t="shared" si="33"/>
        <v>6501</v>
      </c>
      <c r="CY29" s="45">
        <f t="shared" si="2"/>
        <v>5832</v>
      </c>
      <c r="CZ29" s="45">
        <f>+CY29*0.95</f>
        <v>5540.4</v>
      </c>
      <c r="DA29" s="45">
        <f t="shared" si="51"/>
        <v>5263.3799999999992</v>
      </c>
      <c r="DB29" s="45">
        <f t="shared" si="51"/>
        <v>5000.2109999999993</v>
      </c>
      <c r="DC29" s="45">
        <f t="shared" si="51"/>
        <v>4750.2004499999994</v>
      </c>
      <c r="DD29" s="45">
        <f t="shared" si="51"/>
        <v>4512.6904274999988</v>
      </c>
      <c r="DE29" s="45">
        <f t="shared" si="51"/>
        <v>4287.0559061249987</v>
      </c>
      <c r="DF29" s="45">
        <f t="shared" si="51"/>
        <v>4072.7031108187484</v>
      </c>
      <c r="DG29" s="45">
        <f t="shared" si="51"/>
        <v>3869.0679552778111</v>
      </c>
      <c r="DH29" s="45">
        <f t="shared" si="51"/>
        <v>3675.6145575139203</v>
      </c>
      <c r="DI29" s="45">
        <f t="shared" si="51"/>
        <v>3491.833829638224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3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6"/>
        <v>3865</v>
      </c>
      <c r="CI30" s="43">
        <f t="shared" si="37"/>
        <v>4401</v>
      </c>
      <c r="CJ30" s="43">
        <f t="shared" ref="CJ30:CJ32" si="54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47"/>
        <v>0</v>
      </c>
      <c r="CU30" s="45">
        <f t="shared" si="48"/>
        <v>0</v>
      </c>
      <c r="CV30" s="45">
        <f t="shared" si="49"/>
        <v>0</v>
      </c>
      <c r="CW30" s="45">
        <f t="shared" si="50"/>
        <v>0</v>
      </c>
      <c r="CX30" s="45">
        <f t="shared" si="33"/>
        <v>0</v>
      </c>
      <c r="CY30" s="45"/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3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6"/>
        <v>1612</v>
      </c>
      <c r="CI31" s="43">
        <v>1744</v>
      </c>
      <c r="CJ31" s="43">
        <f t="shared" si="54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47"/>
        <v>0</v>
      </c>
      <c r="CU31" s="45">
        <f t="shared" si="48"/>
        <v>0</v>
      </c>
      <c r="CV31" s="45">
        <f t="shared" si="49"/>
        <v>0</v>
      </c>
      <c r="CW31" s="45">
        <f t="shared" si="50"/>
        <v>0</v>
      </c>
      <c r="CX31" s="45">
        <f t="shared" si="33"/>
        <v>0</v>
      </c>
      <c r="CY31" s="45"/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3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6"/>
        <v>324</v>
      </c>
      <c r="CI32" s="43">
        <v>359</v>
      </c>
      <c r="CJ32" s="43">
        <f t="shared" si="54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47"/>
        <v>0</v>
      </c>
      <c r="CU32" s="45">
        <f t="shared" si="48"/>
        <v>0</v>
      </c>
      <c r="CV32" s="45">
        <f t="shared" si="49"/>
        <v>0</v>
      </c>
      <c r="CW32" s="45">
        <f t="shared" si="50"/>
        <v>0</v>
      </c>
      <c r="CX32" s="45">
        <f>SUM(BO32:BR32)</f>
        <v>0</v>
      </c>
      <c r="CY32" s="45"/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3" customHeight="1">
      <c r="A33" s="8"/>
      <c r="B33" s="9" t="s">
        <v>199</v>
      </c>
      <c r="C33" s="15">
        <f t="shared" ref="C33:O33" si="55">SUM(C11:C32)</f>
        <v>10614</v>
      </c>
      <c r="D33" s="15">
        <f t="shared" si="55"/>
        <v>11110</v>
      </c>
      <c r="E33" s="15">
        <f t="shared" si="55"/>
        <v>11246</v>
      </c>
      <c r="F33" s="15">
        <f t="shared" si="55"/>
        <v>12583</v>
      </c>
      <c r="G33" s="15">
        <f t="shared" si="55"/>
        <v>12498</v>
      </c>
      <c r="H33" s="15">
        <f t="shared" si="55"/>
        <v>13001</v>
      </c>
      <c r="I33" s="15">
        <f t="shared" si="55"/>
        <v>12545</v>
      </c>
      <c r="J33" s="15">
        <f t="shared" si="55"/>
        <v>13121</v>
      </c>
      <c r="K33" s="15">
        <f t="shared" si="55"/>
        <v>13674</v>
      </c>
      <c r="L33" s="15">
        <f t="shared" si="55"/>
        <v>15394</v>
      </c>
      <c r="M33" s="15">
        <f t="shared" si="55"/>
        <v>15584</v>
      </c>
      <c r="N33" s="15">
        <f t="shared" si="55"/>
        <v>16124</v>
      </c>
      <c r="O33" s="15">
        <f t="shared" si="55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6">SUM(AC11:AC32)</f>
        <v>0</v>
      </c>
      <c r="AD33" s="15">
        <f t="shared" si="56"/>
        <v>0</v>
      </c>
      <c r="AE33" s="15">
        <f t="shared" si="56"/>
        <v>24929</v>
      </c>
      <c r="AF33" s="15">
        <f t="shared" si="56"/>
        <v>26729</v>
      </c>
      <c r="AG33" s="15">
        <f t="shared" si="56"/>
        <v>26416</v>
      </c>
      <c r="AH33" s="15">
        <f t="shared" si="56"/>
        <v>28415</v>
      </c>
      <c r="AI33" s="15">
        <f t="shared" si="56"/>
        <v>26586</v>
      </c>
      <c r="AJ33" s="15">
        <f t="shared" si="56"/>
        <v>26476</v>
      </c>
      <c r="AK33" s="15">
        <f t="shared" si="56"/>
        <v>26394</v>
      </c>
      <c r="AL33" s="15">
        <f t="shared" si="56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57">SUM(AU13:AU29)</f>
        <v>29291</v>
      </c>
      <c r="AV33" s="15">
        <f t="shared" si="57"/>
        <v>30036</v>
      </c>
      <c r="AW33" s="15">
        <f t="shared" si="57"/>
        <v>30277</v>
      </c>
      <c r="AX33" s="15">
        <f t="shared" si="57"/>
        <v>32417</v>
      </c>
      <c r="AY33" s="15">
        <f>SUM(AY13:AY29)</f>
        <v>33875</v>
      </c>
      <c r="AZ33" s="15">
        <f t="shared" si="57"/>
        <v>30006</v>
      </c>
      <c r="BA33" s="15">
        <f t="shared" si="57"/>
        <v>30927</v>
      </c>
      <c r="BB33" s="15">
        <f t="shared" si="57"/>
        <v>32138</v>
      </c>
      <c r="BC33" s="15">
        <f t="shared" si="57"/>
        <v>33804</v>
      </c>
      <c r="BD33" s="15">
        <f t="shared" si="57"/>
        <v>33041</v>
      </c>
      <c r="BE33" s="15">
        <f t="shared" si="57"/>
        <v>35622</v>
      </c>
      <c r="BF33" s="15">
        <f t="shared" si="57"/>
        <v>38333</v>
      </c>
      <c r="BG33" s="15">
        <f t="shared" si="57"/>
        <v>42031</v>
      </c>
      <c r="BH33" s="15">
        <f t="shared" si="57"/>
        <v>41265</v>
      </c>
      <c r="BI33" s="15">
        <f t="shared" si="57"/>
        <v>45566</v>
      </c>
      <c r="BJ33" s="15">
        <f t="shared" ref="BJ33:BV33" si="58">SUM(BJ13:BJ29)</f>
        <v>48092</v>
      </c>
      <c r="BK33" s="15">
        <f t="shared" si="58"/>
        <v>53367</v>
      </c>
      <c r="BL33" s="15">
        <f t="shared" si="58"/>
        <v>54300</v>
      </c>
      <c r="BM33" s="15">
        <f t="shared" si="58"/>
        <v>58731</v>
      </c>
      <c r="BN33" s="15">
        <f t="shared" si="58"/>
        <v>65863</v>
      </c>
      <c r="BO33" s="15">
        <f t="shared" si="58"/>
        <v>65349</v>
      </c>
      <c r="BP33" s="15">
        <f>SUM(BP13:BP29)</f>
        <v>68060</v>
      </c>
      <c r="BQ33" s="15">
        <f t="shared" si="58"/>
        <v>71311</v>
      </c>
      <c r="BR33" s="15">
        <f>SUM(BR13:BR29)</f>
        <v>85683</v>
      </c>
      <c r="BS33" s="15">
        <f>SUM(BS13:BS29)</f>
        <v>78087</v>
      </c>
      <c r="BT33" s="15">
        <f t="shared" si="58"/>
        <v>78301.47</v>
      </c>
      <c r="BU33" s="15">
        <f t="shared" si="58"/>
        <v>76694.989999999991</v>
      </c>
      <c r="BV33" s="15">
        <f t="shared" si="58"/>
        <v>90039.670000000013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323123.13</v>
      </c>
      <c r="CZ33" s="57">
        <f t="shared" ref="CZ33:DI33" si="59">SUM(CZ3:CZ32)</f>
        <v>336868.2035</v>
      </c>
      <c r="DA33" s="57">
        <f t="shared" si="59"/>
        <v>354084.30607500009</v>
      </c>
      <c r="DB33" s="57">
        <f t="shared" si="59"/>
        <v>370811.17100875016</v>
      </c>
      <c r="DC33" s="57">
        <f t="shared" si="59"/>
        <v>404726.04405268765</v>
      </c>
      <c r="DD33" s="57">
        <f t="shared" si="59"/>
        <v>440113.62895014702</v>
      </c>
      <c r="DE33" s="57">
        <f t="shared" si="59"/>
        <v>375169.48252539348</v>
      </c>
      <c r="DF33" s="57">
        <f t="shared" si="59"/>
        <v>332922.01369265153</v>
      </c>
      <c r="DG33" s="57">
        <f t="shared" si="59"/>
        <v>313807.96133556828</v>
      </c>
      <c r="DH33" s="57">
        <f t="shared" si="59"/>
        <v>305329.47279573855</v>
      </c>
      <c r="DI33" s="57">
        <f t="shared" si="59"/>
        <v>295822.91638294677</v>
      </c>
    </row>
    <row r="34" spans="1:145" ht="13" customHeight="1">
      <c r="A34" s="40"/>
      <c r="B34" s="46" t="s">
        <v>133</v>
      </c>
      <c r="C34" s="43">
        <f t="shared" ref="C34:J34" si="60">C33-C35</f>
        <v>2413</v>
      </c>
      <c r="D34" s="43">
        <f t="shared" si="60"/>
        <v>2554</v>
      </c>
      <c r="E34" s="43">
        <f t="shared" si="60"/>
        <v>2606</v>
      </c>
      <c r="F34" s="43">
        <f t="shared" si="60"/>
        <v>2536</v>
      </c>
      <c r="G34" s="43">
        <f t="shared" si="60"/>
        <v>2508</v>
      </c>
      <c r="H34" s="43">
        <f t="shared" si="60"/>
        <v>2610</v>
      </c>
      <c r="I34" s="43">
        <f t="shared" si="60"/>
        <v>2713</v>
      </c>
      <c r="J34" s="43">
        <f t="shared" si="60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1">AY33-AY35</f>
        <v>5386</v>
      </c>
      <c r="AZ34" s="43">
        <f t="shared" si="61"/>
        <v>4772</v>
      </c>
      <c r="BA34" s="43">
        <f t="shared" si="61"/>
        <v>5155</v>
      </c>
      <c r="BB34" s="43">
        <f t="shared" si="61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2">+BJ33-BJ35</f>
        <v>8262</v>
      </c>
      <c r="BK34" s="43">
        <f t="shared" ref="BK34:BR34" si="63">+BK33-BK35</f>
        <v>8182</v>
      </c>
      <c r="BL34" s="43">
        <f t="shared" si="63"/>
        <v>7856</v>
      </c>
      <c r="BM34" s="43">
        <f t="shared" si="63"/>
        <v>9713</v>
      </c>
      <c r="BN34" s="43">
        <f t="shared" si="63"/>
        <v>10014</v>
      </c>
      <c r="BO34" s="43">
        <f t="shared" si="63"/>
        <v>9916</v>
      </c>
      <c r="BP34" s="43">
        <v>10274</v>
      </c>
      <c r="BQ34" s="43">
        <f t="shared" si="63"/>
        <v>11308</v>
      </c>
      <c r="BR34" s="43">
        <f t="shared" si="63"/>
        <v>13024</v>
      </c>
      <c r="BS34" s="43">
        <v>12890</v>
      </c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48"/>
        <v>23658</v>
      </c>
      <c r="CV34" s="45">
        <f t="shared" si="49"/>
        <v>28448</v>
      </c>
      <c r="CW34" s="45">
        <f t="shared" si="50"/>
        <v>35765</v>
      </c>
      <c r="CX34" s="45">
        <f t="shared" ref="CX34" si="64">SUM(BO34:BR34)</f>
        <v>44522</v>
      </c>
      <c r="CY34" s="45">
        <f>+CY33-CY35</f>
        <v>48468.469500000007</v>
      </c>
      <c r="CZ34" s="45">
        <f t="shared" ref="CZ34:DD34" si="65">+CZ33-CZ35</f>
        <v>50530.230525000021</v>
      </c>
      <c r="DA34" s="45">
        <f t="shared" si="65"/>
        <v>53112.645911250031</v>
      </c>
      <c r="DB34" s="45">
        <f t="shared" si="65"/>
        <v>55621.675651312515</v>
      </c>
      <c r="DC34" s="45">
        <f t="shared" si="65"/>
        <v>60708.906607903133</v>
      </c>
      <c r="DD34" s="45">
        <f t="shared" si="65"/>
        <v>66017.044342522044</v>
      </c>
      <c r="DE34" s="45">
        <f t="shared" ref="DE34:DI34" si="66">+DE33-DE35</f>
        <v>56275.422378809017</v>
      </c>
      <c r="DF34" s="45">
        <f t="shared" si="66"/>
        <v>49938.302053897758</v>
      </c>
      <c r="DG34" s="45">
        <f t="shared" si="66"/>
        <v>47071.194200335245</v>
      </c>
      <c r="DH34" s="45">
        <f t="shared" si="66"/>
        <v>45799.420919360797</v>
      </c>
      <c r="DI34" s="45">
        <f t="shared" si="66"/>
        <v>44373.437457442022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3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v>72659</v>
      </c>
      <c r="BS35" s="43">
        <f>+BS33-BS34</f>
        <v>65197</v>
      </c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245881</v>
      </c>
      <c r="CY35" s="45">
        <f>+CY33*0.85</f>
        <v>274654.6605</v>
      </c>
      <c r="CZ35" s="45">
        <f t="shared" ref="CZ35:DD35" si="67">+CZ33*0.85</f>
        <v>286337.97297499998</v>
      </c>
      <c r="DA35" s="45">
        <f t="shared" si="67"/>
        <v>300971.66016375006</v>
      </c>
      <c r="DB35" s="45">
        <f t="shared" si="67"/>
        <v>315189.49535743764</v>
      </c>
      <c r="DC35" s="45">
        <f t="shared" si="67"/>
        <v>344017.13744478452</v>
      </c>
      <c r="DD35" s="45">
        <f t="shared" si="67"/>
        <v>374096.58460762497</v>
      </c>
      <c r="DE35" s="45">
        <f t="shared" ref="DE35:DI35" si="68">+DE33*0.85</f>
        <v>318894.06014658447</v>
      </c>
      <c r="DF35" s="45">
        <f t="shared" si="68"/>
        <v>282983.71163875377</v>
      </c>
      <c r="DG35" s="45">
        <f t="shared" si="68"/>
        <v>266736.76713523304</v>
      </c>
      <c r="DH35" s="45">
        <f t="shared" si="68"/>
        <v>259530.05187637775</v>
      </c>
      <c r="DI35" s="45">
        <f t="shared" si="68"/>
        <v>251449.47892550475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3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v>18701</v>
      </c>
      <c r="BS36" s="43">
        <v>14892</v>
      </c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48"/>
        <v>37008</v>
      </c>
      <c r="CV36" s="45">
        <f t="shared" si="49"/>
        <v>46217</v>
      </c>
      <c r="CW36" s="45">
        <f t="shared" ref="CW36:CW39" si="69">SUM(BK36:BN36)</f>
        <v>56743</v>
      </c>
      <c r="CX36" s="45">
        <f t="shared" ref="CX36:CX39" si="70">SUM(BO36:BR36)</f>
        <v>62101</v>
      </c>
      <c r="CY36" s="45">
        <f>+CX36</f>
        <v>62101</v>
      </c>
      <c r="CZ36" s="45">
        <f t="shared" ref="CZ36:DD36" si="71">+CY36</f>
        <v>62101</v>
      </c>
      <c r="DA36" s="45">
        <f t="shared" si="71"/>
        <v>62101</v>
      </c>
      <c r="DB36" s="45">
        <f t="shared" si="71"/>
        <v>62101</v>
      </c>
      <c r="DC36" s="45">
        <f t="shared" si="71"/>
        <v>62101</v>
      </c>
      <c r="DD36" s="45">
        <f t="shared" si="71"/>
        <v>62101</v>
      </c>
      <c r="DE36" s="45">
        <f t="shared" ref="DE36" si="72">+DD36</f>
        <v>62101</v>
      </c>
      <c r="DF36" s="45">
        <f t="shared" ref="DF36" si="73">+DE36</f>
        <v>62101</v>
      </c>
      <c r="DG36" s="45">
        <f t="shared" ref="DG36" si="74">+DF36</f>
        <v>62101</v>
      </c>
      <c r="DH36" s="45">
        <f t="shared" ref="DH36" si="75">+DG36</f>
        <v>62101</v>
      </c>
      <c r="DI36" s="45">
        <f t="shared" ref="DI36" si="76">+DH36</f>
        <v>62101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3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v>13802</v>
      </c>
      <c r="BS37" s="43">
        <v>10308</v>
      </c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48"/>
        <v>17772</v>
      </c>
      <c r="CV37" s="45">
        <f t="shared" si="49"/>
        <v>24047</v>
      </c>
      <c r="CW37" s="45">
        <f t="shared" si="69"/>
        <v>32443</v>
      </c>
      <c r="CX37" s="45">
        <f t="shared" si="70"/>
        <v>48062</v>
      </c>
      <c r="CY37" s="45">
        <f>+CX37</f>
        <v>48062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3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v>1580</v>
      </c>
      <c r="BS38" s="43">
        <v>1220</v>
      </c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48"/>
        <v>4050</v>
      </c>
      <c r="CV38" s="45">
        <f t="shared" si="49"/>
        <v>4467</v>
      </c>
      <c r="CW38" s="45">
        <f t="shared" si="69"/>
        <v>4855</v>
      </c>
      <c r="CX38" s="45">
        <f t="shared" si="70"/>
        <v>5276</v>
      </c>
      <c r="CY38" s="45">
        <f>+CX38</f>
        <v>5276</v>
      </c>
      <c r="CZ38" s="45">
        <f t="shared" ref="CZ38:DD38" si="77">+CY38</f>
        <v>5276</v>
      </c>
      <c r="DA38" s="45">
        <f t="shared" si="77"/>
        <v>5276</v>
      </c>
      <c r="DB38" s="45">
        <f t="shared" si="77"/>
        <v>5276</v>
      </c>
      <c r="DC38" s="45">
        <f t="shared" si="77"/>
        <v>5276</v>
      </c>
      <c r="DD38" s="45">
        <f t="shared" si="77"/>
        <v>5276</v>
      </c>
      <c r="DE38" s="45">
        <f t="shared" ref="DE38:DE39" si="78">+DD38</f>
        <v>5276</v>
      </c>
      <c r="DF38" s="45">
        <f t="shared" ref="DF38:DF39" si="79">+DE38</f>
        <v>5276</v>
      </c>
      <c r="DG38" s="45">
        <f t="shared" ref="DG38:DG39" si="80">+DF38</f>
        <v>5276</v>
      </c>
      <c r="DH38" s="45">
        <f t="shared" ref="DH38:DH39" si="81">+DG38</f>
        <v>5276</v>
      </c>
      <c r="DI38" s="45">
        <f t="shared" ref="DI38:DI39" si="82">+DH38</f>
        <v>5276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3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v>1839</v>
      </c>
      <c r="BS39" s="43">
        <v>-14</v>
      </c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48"/>
        <v>-332</v>
      </c>
      <c r="CV39" s="45">
        <f t="shared" si="49"/>
        <v>-1034</v>
      </c>
      <c r="CW39" s="45">
        <f t="shared" si="69"/>
        <v>-119</v>
      </c>
      <c r="CX39" s="45">
        <f t="shared" si="70"/>
        <v>2103</v>
      </c>
      <c r="CY39" s="45">
        <f>+CX39</f>
        <v>2103</v>
      </c>
      <c r="CZ39" s="45">
        <f t="shared" ref="CZ39:DD39" si="83">+CY39</f>
        <v>2103</v>
      </c>
      <c r="DA39" s="45">
        <f t="shared" si="83"/>
        <v>2103</v>
      </c>
      <c r="DB39" s="45">
        <f t="shared" si="83"/>
        <v>2103</v>
      </c>
      <c r="DC39" s="45">
        <f t="shared" si="83"/>
        <v>2103</v>
      </c>
      <c r="DD39" s="45">
        <f t="shared" si="83"/>
        <v>2103</v>
      </c>
      <c r="DE39" s="45">
        <f t="shared" si="78"/>
        <v>2103</v>
      </c>
      <c r="DF39" s="45">
        <f t="shared" si="79"/>
        <v>2103</v>
      </c>
      <c r="DG39" s="45">
        <f t="shared" si="80"/>
        <v>2103</v>
      </c>
      <c r="DH39" s="45">
        <f t="shared" si="81"/>
        <v>2103</v>
      </c>
      <c r="DI39" s="45">
        <f t="shared" si="82"/>
        <v>2103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3" customHeight="1">
      <c r="A40" s="40"/>
      <c r="B40" s="46" t="s">
        <v>137</v>
      </c>
      <c r="C40" s="43">
        <f t="shared" ref="C40:K40" si="84">SUM(C36:C38)-C39</f>
        <v>5152</v>
      </c>
      <c r="D40" s="43">
        <f t="shared" si="84"/>
        <v>5555</v>
      </c>
      <c r="E40" s="43">
        <f t="shared" si="84"/>
        <v>5366</v>
      </c>
      <c r="F40" s="43">
        <f t="shared" si="84"/>
        <v>6673</v>
      </c>
      <c r="G40" s="43">
        <f t="shared" si="84"/>
        <v>6180</v>
      </c>
      <c r="H40" s="43">
        <f t="shared" si="84"/>
        <v>6301</v>
      </c>
      <c r="I40" s="43">
        <f t="shared" si="84"/>
        <v>6018</v>
      </c>
      <c r="J40" s="43">
        <f t="shared" si="84"/>
        <v>7208</v>
      </c>
      <c r="K40" s="43">
        <f t="shared" si="84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5">SUM(AQ36:AQ39)</f>
        <v>10285</v>
      </c>
      <c r="AR40" s="43">
        <f t="shared" si="85"/>
        <v>10851</v>
      </c>
      <c r="AS40" s="43">
        <f t="shared" si="85"/>
        <v>11534</v>
      </c>
      <c r="AT40" s="43">
        <f t="shared" si="85"/>
        <v>14296</v>
      </c>
      <c r="AU40" s="43">
        <f t="shared" ref="AU40:AW40" si="86">SUM(AU36:AU39)</f>
        <v>10320</v>
      </c>
      <c r="AV40" s="43">
        <f t="shared" si="86"/>
        <v>11735</v>
      </c>
      <c r="AW40" s="43">
        <f t="shared" si="86"/>
        <v>12283</v>
      </c>
      <c r="AX40" s="43">
        <f t="shared" ref="AX40:BB40" si="87">SUM(AX36:AX39)</f>
        <v>15112</v>
      </c>
      <c r="AY40" s="43">
        <f t="shared" si="87"/>
        <v>12187</v>
      </c>
      <c r="AZ40" s="43">
        <f t="shared" si="87"/>
        <v>11396</v>
      </c>
      <c r="BA40" s="43">
        <f t="shared" si="87"/>
        <v>12964</v>
      </c>
      <c r="BB40" s="43">
        <f t="shared" si="87"/>
        <v>15341</v>
      </c>
      <c r="BC40" s="43">
        <f t="shared" ref="BC40:BH40" si="88">SUM(BC36:BC39)</f>
        <v>13011</v>
      </c>
      <c r="BD40" s="43">
        <f t="shared" si="88"/>
        <v>12715</v>
      </c>
      <c r="BE40" s="43">
        <f t="shared" si="88"/>
        <v>14314</v>
      </c>
      <c r="BF40" s="43">
        <f t="shared" si="88"/>
        <v>18458</v>
      </c>
      <c r="BG40" s="43">
        <f t="shared" si="88"/>
        <v>15967</v>
      </c>
      <c r="BH40" s="43">
        <f t="shared" si="88"/>
        <v>16805</v>
      </c>
      <c r="BI40" s="43">
        <f t="shared" ref="BI40:BN40" si="89">SUM(BI36:BI39)</f>
        <v>18182</v>
      </c>
      <c r="BJ40" s="43">
        <f t="shared" si="89"/>
        <v>22743</v>
      </c>
      <c r="BK40" s="43">
        <f t="shared" si="89"/>
        <v>20178</v>
      </c>
      <c r="BL40" s="43">
        <f t="shared" si="89"/>
        <v>22556</v>
      </c>
      <c r="BM40" s="43">
        <f t="shared" si="89"/>
        <v>22105</v>
      </c>
      <c r="BN40" s="43">
        <f t="shared" si="89"/>
        <v>29083</v>
      </c>
      <c r="BO40" s="43">
        <f>SUM(BO36:BO39)</f>
        <v>23587</v>
      </c>
      <c r="BP40" s="43">
        <f t="shared" ref="BP40:BR40" si="90">SUM(BP36:BP39)</f>
        <v>31852</v>
      </c>
      <c r="BQ40" s="43">
        <f t="shared" si="90"/>
        <v>26181</v>
      </c>
      <c r="BR40" s="43">
        <f t="shared" si="90"/>
        <v>35922</v>
      </c>
      <c r="BS40" s="43">
        <f t="shared" ref="BS40" si="91">SUM(BS36:BS39)</f>
        <v>26406</v>
      </c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2">SUM(CR36:CR38)</f>
        <v>48118</v>
      </c>
      <c r="CS40" s="45">
        <f>SUM(CS36:CS39)</f>
        <v>49450</v>
      </c>
      <c r="CT40" s="45">
        <f t="shared" ref="CT40:CX40" si="93">SUM(CT36:CT39)</f>
        <v>51888</v>
      </c>
      <c r="CU40" s="45">
        <f t="shared" si="93"/>
        <v>58498</v>
      </c>
      <c r="CV40" s="45">
        <f t="shared" si="93"/>
        <v>73697</v>
      </c>
      <c r="CW40" s="45">
        <f>SUM(CW36:CW39)</f>
        <v>93922</v>
      </c>
      <c r="CX40" s="45">
        <f t="shared" si="93"/>
        <v>117542</v>
      </c>
      <c r="CY40" s="45">
        <f t="shared" ref="CY40:DD40" si="94">SUM(CY36:CY39)</f>
        <v>117542</v>
      </c>
      <c r="CZ40" s="45">
        <f t="shared" si="94"/>
        <v>69480</v>
      </c>
      <c r="DA40" s="45">
        <f t="shared" si="94"/>
        <v>69480</v>
      </c>
      <c r="DB40" s="45">
        <f t="shared" si="94"/>
        <v>69480</v>
      </c>
      <c r="DC40" s="45">
        <f t="shared" si="94"/>
        <v>69480</v>
      </c>
      <c r="DD40" s="45">
        <f t="shared" si="94"/>
        <v>69480</v>
      </c>
      <c r="DE40" s="45">
        <f t="shared" ref="DE40:DI40" si="95">SUM(DE36:DE39)</f>
        <v>69480</v>
      </c>
      <c r="DF40" s="45">
        <f t="shared" si="95"/>
        <v>69480</v>
      </c>
      <c r="DG40" s="45">
        <f t="shared" si="95"/>
        <v>69480</v>
      </c>
      <c r="DH40" s="45">
        <f t="shared" si="95"/>
        <v>69480</v>
      </c>
      <c r="DI40" s="45">
        <f t="shared" si="95"/>
        <v>69480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3" customHeight="1">
      <c r="A41" s="40"/>
      <c r="B41" s="46" t="s">
        <v>192</v>
      </c>
      <c r="C41" s="43">
        <f t="shared" ref="C41:K41" si="96">C35-C40</f>
        <v>3049</v>
      </c>
      <c r="D41" s="43">
        <f t="shared" si="96"/>
        <v>3001</v>
      </c>
      <c r="E41" s="43">
        <f t="shared" si="96"/>
        <v>3274</v>
      </c>
      <c r="F41" s="43">
        <f t="shared" si="96"/>
        <v>3374</v>
      </c>
      <c r="G41" s="43">
        <f t="shared" si="96"/>
        <v>3810</v>
      </c>
      <c r="H41" s="43">
        <f t="shared" si="96"/>
        <v>4090</v>
      </c>
      <c r="I41" s="43">
        <f t="shared" si="96"/>
        <v>3814</v>
      </c>
      <c r="J41" s="43">
        <f t="shared" si="96"/>
        <v>3219</v>
      </c>
      <c r="K41" s="43">
        <f t="shared" si="96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97">AQ35-AQ40</f>
        <v>12448</v>
      </c>
      <c r="AR41" s="43">
        <f t="shared" si="97"/>
        <v>12204</v>
      </c>
      <c r="AS41" s="43">
        <f t="shared" si="97"/>
        <v>11813</v>
      </c>
      <c r="AT41" s="43">
        <f t="shared" si="97"/>
        <v>10783</v>
      </c>
      <c r="AU41" s="43">
        <f t="shared" ref="AU41:AW41" si="98">AU35-AU40</f>
        <v>14239</v>
      </c>
      <c r="AV41" s="43">
        <f t="shared" si="98"/>
        <v>13452</v>
      </c>
      <c r="AW41" s="43">
        <f t="shared" si="98"/>
        <v>12919</v>
      </c>
      <c r="AX41" s="43">
        <f t="shared" ref="AX41:BB41" si="99">AX35-AX40</f>
        <v>11873</v>
      </c>
      <c r="AY41" s="43">
        <f t="shared" si="99"/>
        <v>16302</v>
      </c>
      <c r="AZ41" s="43">
        <f t="shared" si="99"/>
        <v>13838</v>
      </c>
      <c r="BA41" s="43">
        <f t="shared" si="99"/>
        <v>12808</v>
      </c>
      <c r="BB41" s="43">
        <f t="shared" si="99"/>
        <v>11178</v>
      </c>
      <c r="BC41" s="43">
        <f t="shared" ref="BC41:BH41" si="100">BC35-BC40</f>
        <v>14982</v>
      </c>
      <c r="BD41" s="43">
        <f t="shared" si="100"/>
        <v>14779</v>
      </c>
      <c r="BE41" s="43">
        <f t="shared" si="100"/>
        <v>15249</v>
      </c>
      <c r="BF41" s="43">
        <f t="shared" si="100"/>
        <v>13634</v>
      </c>
      <c r="BG41" s="43">
        <f t="shared" si="100"/>
        <v>19147</v>
      </c>
      <c r="BH41" s="43">
        <f t="shared" si="100"/>
        <v>18391</v>
      </c>
      <c r="BI41" s="43">
        <f t="shared" ref="BI41:BN41" si="101">BI35-BI40</f>
        <v>20184</v>
      </c>
      <c r="BJ41" s="43">
        <f t="shared" si="101"/>
        <v>17087</v>
      </c>
      <c r="BK41" s="43">
        <f t="shared" si="101"/>
        <v>25007</v>
      </c>
      <c r="BL41" s="43">
        <f t="shared" si="101"/>
        <v>23888</v>
      </c>
      <c r="BM41" s="43">
        <f t="shared" si="101"/>
        <v>26913</v>
      </c>
      <c r="BN41" s="43">
        <f t="shared" si="101"/>
        <v>26766</v>
      </c>
      <c r="BO41" s="43">
        <f>BO35-BO40</f>
        <v>31846</v>
      </c>
      <c r="BP41" s="43">
        <f>BP35-BP40</f>
        <v>25934</v>
      </c>
      <c r="BQ41" s="43">
        <f t="shared" ref="BQ41:BR41" si="102">BQ35-BQ40</f>
        <v>33822</v>
      </c>
      <c r="BR41" s="43">
        <f t="shared" si="102"/>
        <v>36737</v>
      </c>
      <c r="BS41" s="43">
        <f t="shared" ref="BS41" si="103">BS35-BS40</f>
        <v>38791</v>
      </c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4">CI35-CI40</f>
        <v>14592</v>
      </c>
      <c r="CJ41" s="43">
        <f t="shared" si="104"/>
        <v>18891</v>
      </c>
      <c r="CK41" s="43">
        <f>CK35-CK40</f>
        <v>22374</v>
      </c>
      <c r="CL41" s="43">
        <f>CL35-CL40</f>
        <v>29474</v>
      </c>
      <c r="CM41" s="43">
        <f t="shared" si="104"/>
        <v>0</v>
      </c>
      <c r="CN41" s="43">
        <f t="shared" si="104"/>
        <v>34492</v>
      </c>
      <c r="CO41" s="43">
        <f t="shared" si="104"/>
        <v>49444</v>
      </c>
      <c r="CP41" s="43">
        <f t="shared" si="104"/>
        <v>48432</v>
      </c>
      <c r="CQ41" s="45">
        <f>CQ35-CQ40</f>
        <v>47926</v>
      </c>
      <c r="CR41" s="45">
        <f t="shared" ref="CR41:CX41" si="105">CR35-CR40</f>
        <v>46096</v>
      </c>
      <c r="CS41" s="45">
        <f t="shared" si="105"/>
        <v>52483</v>
      </c>
      <c r="CT41" s="45">
        <f t="shared" si="105"/>
        <v>54126</v>
      </c>
      <c r="CU41" s="45">
        <f t="shared" si="105"/>
        <v>58644</v>
      </c>
      <c r="CV41" s="45">
        <f t="shared" si="105"/>
        <v>74809</v>
      </c>
      <c r="CW41" s="45">
        <f>CW35-CW40</f>
        <v>102574</v>
      </c>
      <c r="CX41" s="45">
        <f t="shared" si="105"/>
        <v>128339</v>
      </c>
      <c r="CY41" s="45">
        <f t="shared" ref="CY41:DD41" si="106">CY35-CY40</f>
        <v>157112.6605</v>
      </c>
      <c r="CZ41" s="45">
        <f t="shared" si="106"/>
        <v>216857.97297499998</v>
      </c>
      <c r="DA41" s="45">
        <f t="shared" si="106"/>
        <v>231491.66016375006</v>
      </c>
      <c r="DB41" s="45">
        <f t="shared" si="106"/>
        <v>245709.49535743764</v>
      </c>
      <c r="DC41" s="45">
        <f t="shared" si="106"/>
        <v>274537.13744478452</v>
      </c>
      <c r="DD41" s="45">
        <f t="shared" si="106"/>
        <v>304616.58460762497</v>
      </c>
      <c r="DE41" s="45">
        <f t="shared" ref="DE41:DI41" si="107">DE35-DE40</f>
        <v>249414.06014658447</v>
      </c>
      <c r="DF41" s="45">
        <f t="shared" si="107"/>
        <v>213503.71163875377</v>
      </c>
      <c r="DG41" s="45">
        <f t="shared" si="107"/>
        <v>197256.76713523304</v>
      </c>
      <c r="DH41" s="45">
        <f t="shared" si="107"/>
        <v>190050.05187637775</v>
      </c>
      <c r="DI41" s="45">
        <f t="shared" si="107"/>
        <v>181969.47892550475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3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3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3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72</v>
      </c>
      <c r="BP44" s="43">
        <f>960-1562</f>
        <v>-602</v>
      </c>
      <c r="BQ44" s="43">
        <v>562</v>
      </c>
      <c r="BR44" s="43">
        <v>-1180</v>
      </c>
      <c r="BS44" s="43">
        <v>-1758</v>
      </c>
      <c r="BT44" s="43"/>
      <c r="BU44" s="43"/>
      <c r="BV44" s="43"/>
      <c r="BW44" s="43"/>
      <c r="BX44" s="43">
        <f t="shared" ref="BX44:CD44" si="108">BX40+SUM(BX41:BX43)</f>
        <v>3176</v>
      </c>
      <c r="BY44" s="43">
        <f t="shared" si="108"/>
        <v>3349</v>
      </c>
      <c r="BZ44" s="43">
        <f t="shared" si="108"/>
        <v>4884</v>
      </c>
      <c r="CA44" s="43">
        <f t="shared" si="108"/>
        <v>5695</v>
      </c>
      <c r="CB44" s="43">
        <f t="shared" si="108"/>
        <v>6328</v>
      </c>
      <c r="CC44" s="43">
        <f t="shared" si="108"/>
        <v>954</v>
      </c>
      <c r="CD44" s="43">
        <f t="shared" si="108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09">SUM(BC44:BF44)</f>
        <v>-436</v>
      </c>
      <c r="CV44" s="45">
        <f t="shared" ref="CV44:CV46" si="110">SUM(BG44:BJ44)</f>
        <v>5747</v>
      </c>
      <c r="CW44" s="45">
        <f t="shared" ref="CW44" si="111">SUM(BK44:BN44)</f>
        <v>-2100</v>
      </c>
      <c r="CX44" s="45">
        <f t="shared" ref="CX44" si="112">SUM(BO44:BR44)</f>
        <v>-1148</v>
      </c>
      <c r="CY44" s="45">
        <f>+CX67*$DM$49</f>
        <v>750.07</v>
      </c>
      <c r="CZ44" s="45">
        <f t="shared" ref="CZ44:DI44" si="113">+CY67*$DM$49</f>
        <v>-500.83072399999992</v>
      </c>
      <c r="DA44" s="45">
        <f t="shared" si="113"/>
        <v>-2239.7011535920001</v>
      </c>
      <c r="DB44" s="45">
        <f t="shared" si="113"/>
        <v>-4109.5520441307362</v>
      </c>
      <c r="DC44" s="45">
        <f t="shared" si="113"/>
        <v>-6108.1044233432831</v>
      </c>
      <c r="DD44" s="45">
        <f t="shared" si="113"/>
        <v>-8353.2663582883051</v>
      </c>
      <c r="DE44" s="45">
        <f t="shared" si="113"/>
        <v>-10857.025166015612</v>
      </c>
      <c r="DF44" s="45">
        <f t="shared" si="113"/>
        <v>-12939.193848516414</v>
      </c>
      <c r="DG44" s="45">
        <f t="shared" si="113"/>
        <v>-14750.737092414573</v>
      </c>
      <c r="DH44" s="45">
        <f t="shared" si="113"/>
        <v>-16446.797126235753</v>
      </c>
      <c r="DI44" s="45">
        <f t="shared" si="113"/>
        <v>-18098.771918256662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3" customHeight="1">
      <c r="A45" s="40"/>
      <c r="B45" s="46" t="s">
        <v>193</v>
      </c>
      <c r="C45" s="43">
        <f t="shared" ref="C45:O45" si="114">SUM(C41:C44)</f>
        <v>3824</v>
      </c>
      <c r="D45" s="43">
        <f t="shared" si="114"/>
        <v>3406</v>
      </c>
      <c r="E45" s="43">
        <f t="shared" si="114"/>
        <v>3588</v>
      </c>
      <c r="F45" s="43">
        <f t="shared" si="114"/>
        <v>3070</v>
      </c>
      <c r="G45" s="43">
        <f t="shared" si="114"/>
        <v>3505</v>
      </c>
      <c r="H45" s="43">
        <f t="shared" si="114"/>
        <v>3884</v>
      </c>
      <c r="I45" s="43">
        <f t="shared" si="114"/>
        <v>3607</v>
      </c>
      <c r="J45" s="43">
        <f t="shared" si="114"/>
        <v>2992</v>
      </c>
      <c r="K45" s="43">
        <f t="shared" si="114"/>
        <v>4317</v>
      </c>
      <c r="L45" s="43">
        <f t="shared" si="114"/>
        <v>4608</v>
      </c>
      <c r="M45" s="43">
        <f t="shared" si="114"/>
        <v>4656</v>
      </c>
      <c r="N45" s="43">
        <f t="shared" si="114"/>
        <v>4907.2000000000007</v>
      </c>
      <c r="O45" s="43">
        <f t="shared" si="114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5">AX41-AX44</f>
        <v>11079</v>
      </c>
      <c r="AY45" s="43">
        <f t="shared" si="115"/>
        <v>15021</v>
      </c>
      <c r="AZ45" s="43">
        <f t="shared" si="115"/>
        <v>13416</v>
      </c>
      <c r="BA45" s="43">
        <f t="shared" si="115"/>
        <v>12691</v>
      </c>
      <c r="BB45" s="43">
        <f t="shared" si="115"/>
        <v>12002</v>
      </c>
      <c r="BC45" s="43">
        <f>BC41-BC44</f>
        <v>15938</v>
      </c>
      <c r="BD45" s="43">
        <f>BD41-BD44</f>
        <v>14917</v>
      </c>
      <c r="BE45" s="43">
        <f t="shared" ref="BE45:BN45" si="116">BE41-BE44</f>
        <v>15112</v>
      </c>
      <c r="BF45" s="43">
        <f t="shared" si="116"/>
        <v>13113</v>
      </c>
      <c r="BG45" s="43">
        <f t="shared" si="116"/>
        <v>17919</v>
      </c>
      <c r="BH45" s="43">
        <f t="shared" si="116"/>
        <v>16795</v>
      </c>
      <c r="BI45" s="43">
        <f t="shared" si="116"/>
        <v>18032</v>
      </c>
      <c r="BJ45" s="43">
        <f t="shared" si="116"/>
        <v>16316</v>
      </c>
      <c r="BK45" s="43">
        <f t="shared" si="116"/>
        <v>24737</v>
      </c>
      <c r="BL45" s="43">
        <f t="shared" si="116"/>
        <v>24254</v>
      </c>
      <c r="BM45" s="43">
        <f t="shared" si="116"/>
        <v>28063</v>
      </c>
      <c r="BN45" s="43">
        <f t="shared" si="116"/>
        <v>27620</v>
      </c>
      <c r="BO45" s="43">
        <f>+BO41+BO44</f>
        <v>31918</v>
      </c>
      <c r="BP45" s="43">
        <f>+BP41+BP44</f>
        <v>25332</v>
      </c>
      <c r="BQ45" s="43">
        <f>+BQ41+BQ44</f>
        <v>34384</v>
      </c>
      <c r="BR45" s="43">
        <f>+BR41+BR44</f>
        <v>35557</v>
      </c>
      <c r="BS45" s="43">
        <f>+BS41+BS44</f>
        <v>37033</v>
      </c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7">CI41+SUM(CI42:CI44)</f>
        <v>14592</v>
      </c>
      <c r="CJ45" s="43">
        <f t="shared" si="117"/>
        <v>18286</v>
      </c>
      <c r="CK45" s="43">
        <f t="shared" si="117"/>
        <v>21925</v>
      </c>
      <c r="CL45" s="43">
        <f t="shared" si="117"/>
        <v>27811</v>
      </c>
      <c r="CM45" s="43">
        <f t="shared" si="117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18">+CU41-CU44</f>
        <v>59080</v>
      </c>
      <c r="CV45" s="45">
        <f t="shared" si="118"/>
        <v>69062</v>
      </c>
      <c r="CW45" s="45">
        <f t="shared" si="118"/>
        <v>104674</v>
      </c>
      <c r="CX45" s="45">
        <f>+CX41-CX44</f>
        <v>129487</v>
      </c>
      <c r="CY45" s="45">
        <f>+CY41-CY44</f>
        <v>156362.59049999999</v>
      </c>
      <c r="CZ45" s="45">
        <f t="shared" ref="CZ45:DD45" si="119">+CZ41-CZ44</f>
        <v>217358.80369899998</v>
      </c>
      <c r="DA45" s="45">
        <f t="shared" si="119"/>
        <v>233731.36131734206</v>
      </c>
      <c r="DB45" s="45">
        <f t="shared" si="119"/>
        <v>249819.04740156839</v>
      </c>
      <c r="DC45" s="45">
        <f t="shared" si="119"/>
        <v>280645.24186812778</v>
      </c>
      <c r="DD45" s="45">
        <f t="shared" si="119"/>
        <v>312969.85096591327</v>
      </c>
      <c r="DE45" s="45">
        <f t="shared" ref="DE45:DI45" si="120">+DE41-DE44</f>
        <v>260271.08531260007</v>
      </c>
      <c r="DF45" s="45">
        <f t="shared" si="120"/>
        <v>226442.90548727018</v>
      </c>
      <c r="DG45" s="45">
        <f t="shared" si="120"/>
        <v>212007.50422764762</v>
      </c>
      <c r="DH45" s="45">
        <f t="shared" si="120"/>
        <v>206496.84900261351</v>
      </c>
      <c r="DI45" s="45">
        <f t="shared" si="120"/>
        <v>200068.2508437614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3" customHeight="1">
      <c r="A46" s="40"/>
      <c r="B46" s="46" t="s">
        <v>198</v>
      </c>
      <c r="C46" s="43">
        <f t="shared" ref="C46:J46" si="121">C45-C47</f>
        <v>1644</v>
      </c>
      <c r="D46" s="43">
        <f t="shared" si="121"/>
        <v>935</v>
      </c>
      <c r="E46" s="43">
        <f t="shared" si="121"/>
        <v>924</v>
      </c>
      <c r="F46" s="43">
        <f t="shared" si="121"/>
        <v>740</v>
      </c>
      <c r="G46" s="43">
        <f t="shared" si="121"/>
        <v>806</v>
      </c>
      <c r="H46" s="43">
        <f t="shared" si="121"/>
        <v>893</v>
      </c>
      <c r="I46" s="43">
        <f t="shared" si="121"/>
        <v>852</v>
      </c>
      <c r="J46" s="43">
        <f t="shared" si="121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v>7327</v>
      </c>
      <c r="BS46" s="43">
        <v>7999</v>
      </c>
      <c r="BT46" s="43"/>
      <c r="BU46" s="43"/>
      <c r="BV46" s="43"/>
      <c r="BW46" s="43"/>
      <c r="BX46" s="43">
        <f t="shared" ref="BX46:CD46" si="122">BX44+BX45</f>
        <v>2016</v>
      </c>
      <c r="BY46" s="43">
        <f t="shared" si="122"/>
        <v>2001</v>
      </c>
      <c r="BZ46" s="43">
        <f t="shared" si="122"/>
        <v>3154</v>
      </c>
      <c r="CA46" s="43">
        <f t="shared" si="122"/>
        <v>3620</v>
      </c>
      <c r="CB46" s="43">
        <f t="shared" si="122"/>
        <v>4116</v>
      </c>
      <c r="CC46" s="43">
        <f t="shared" si="122"/>
        <v>954</v>
      </c>
      <c r="CD46" s="43">
        <f t="shared" si="122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3">SUM(BC46:BF46)</f>
        <v>11323</v>
      </c>
      <c r="CV46" s="45">
        <f t="shared" si="110"/>
        <v>13537</v>
      </c>
      <c r="CW46" s="45">
        <f>SUM(BK46:BN46)</f>
        <v>20991</v>
      </c>
      <c r="CX46" s="45">
        <f>SUM(BO46:BR46)</f>
        <v>26203</v>
      </c>
      <c r="CY46" s="45">
        <f>+CY45*0.2</f>
        <v>31272.518100000001</v>
      </c>
      <c r="CZ46" s="45">
        <f t="shared" ref="CZ46:DD46" si="124">+CZ45*0.2</f>
        <v>43471.760739799996</v>
      </c>
      <c r="DA46" s="45">
        <f t="shared" si="124"/>
        <v>46746.272263468418</v>
      </c>
      <c r="DB46" s="45">
        <f t="shared" si="124"/>
        <v>49963.809480313677</v>
      </c>
      <c r="DC46" s="45">
        <f t="shared" si="124"/>
        <v>56129.048373625556</v>
      </c>
      <c r="DD46" s="45">
        <f t="shared" si="124"/>
        <v>62593.970193182657</v>
      </c>
      <c r="DE46" s="45">
        <f t="shared" ref="DE46:DI46" si="125">+DE45*0.2</f>
        <v>52054.217062520016</v>
      </c>
      <c r="DF46" s="45">
        <f t="shared" si="125"/>
        <v>45288.581097454036</v>
      </c>
      <c r="DG46" s="45">
        <f t="shared" si="125"/>
        <v>42401.500845529525</v>
      </c>
      <c r="DH46" s="45">
        <f t="shared" si="125"/>
        <v>41299.369800522705</v>
      </c>
      <c r="DI46" s="45">
        <f t="shared" si="125"/>
        <v>40013.650168752283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3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6">AU45-AU46</f>
        <v>10445</v>
      </c>
      <c r="AV47" s="43">
        <f t="shared" si="126"/>
        <v>9595</v>
      </c>
      <c r="AW47" s="43">
        <f t="shared" si="126"/>
        <v>10194</v>
      </c>
      <c r="AX47" s="43">
        <f t="shared" ref="AX47:BB47" si="127">AX45-AX46</f>
        <v>8717</v>
      </c>
      <c r="AY47" s="43">
        <f t="shared" si="127"/>
        <v>11897</v>
      </c>
      <c r="AZ47" s="43">
        <f t="shared" si="127"/>
        <v>10625</v>
      </c>
      <c r="BA47" s="43">
        <f t="shared" si="127"/>
        <v>10298</v>
      </c>
      <c r="BB47" s="43">
        <f t="shared" si="127"/>
        <v>9318</v>
      </c>
      <c r="BC47" s="43">
        <f>BC45-BC46</f>
        <v>12623</v>
      </c>
      <c r="BD47" s="43">
        <f>BD45-BD46</f>
        <v>12123</v>
      </c>
      <c r="BE47" s="43">
        <f t="shared" ref="BE47:BG47" si="128">BE45-BE46</f>
        <v>12119</v>
      </c>
      <c r="BF47" s="43">
        <f t="shared" si="128"/>
        <v>10892</v>
      </c>
      <c r="BG47" s="43">
        <f t="shared" si="128"/>
        <v>14210</v>
      </c>
      <c r="BH47" s="43">
        <f>BH45-BH46</f>
        <v>13318</v>
      </c>
      <c r="BI47" s="43">
        <f t="shared" ref="BI47:BS47" si="129">BI45-BI46</f>
        <v>14405</v>
      </c>
      <c r="BJ47" s="43">
        <f t="shared" si="129"/>
        <v>13592</v>
      </c>
      <c r="BK47" s="43">
        <f t="shared" si="129"/>
        <v>19814</v>
      </c>
      <c r="BL47" s="43">
        <f t="shared" si="129"/>
        <v>19428</v>
      </c>
      <c r="BM47" s="43">
        <f t="shared" si="129"/>
        <v>22478</v>
      </c>
      <c r="BN47" s="43">
        <f t="shared" si="129"/>
        <v>21963</v>
      </c>
      <c r="BO47" s="43">
        <f t="shared" si="129"/>
        <v>25407</v>
      </c>
      <c r="BP47" s="43">
        <f t="shared" si="129"/>
        <v>20050</v>
      </c>
      <c r="BQ47" s="43">
        <f t="shared" si="129"/>
        <v>27301</v>
      </c>
      <c r="BR47" s="43">
        <f t="shared" si="129"/>
        <v>28230</v>
      </c>
      <c r="BS47" s="43">
        <f t="shared" si="129"/>
        <v>29034</v>
      </c>
      <c r="BT47" s="43"/>
      <c r="BU47" s="43"/>
      <c r="BV47" s="43"/>
      <c r="BW47" s="43"/>
      <c r="BX47" s="11">
        <f t="shared" ref="BX47:CB47" si="130">BX46/BX48</f>
        <v>5.4339622641509431</v>
      </c>
      <c r="BY47" s="11">
        <f t="shared" si="130"/>
        <v>5.5909784351966199</v>
      </c>
      <c r="BZ47" s="11">
        <f t="shared" si="130"/>
        <v>9.0298275927642493</v>
      </c>
      <c r="CA47" s="11">
        <f t="shared" si="130"/>
        <v>10.449736117774917</v>
      </c>
      <c r="CB47" s="11">
        <f t="shared" si="130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1">CI45-CI46</f>
        <v>9484.7999999999993</v>
      </c>
      <c r="CJ47" s="43">
        <f>CJ45-CJ46</f>
        <v>14403</v>
      </c>
      <c r="CK47" s="43">
        <f t="shared" si="131"/>
        <v>17097</v>
      </c>
      <c r="CL47" s="43">
        <f t="shared" si="131"/>
        <v>21432</v>
      </c>
      <c r="CM47" s="43">
        <f t="shared" si="131"/>
        <v>0</v>
      </c>
      <c r="CN47" s="43">
        <f t="shared" si="131"/>
        <v>26481</v>
      </c>
      <c r="CO47" s="43">
        <f t="shared" si="131"/>
        <v>34860</v>
      </c>
      <c r="CP47" s="43">
        <f t="shared" si="131"/>
        <v>37925</v>
      </c>
      <c r="CQ47" s="45"/>
      <c r="CR47" s="45"/>
      <c r="CS47" s="45">
        <f t="shared" ref="CS47:DI47" si="132">+CS45-CS46</f>
        <v>38951</v>
      </c>
      <c r="CT47" s="45">
        <f t="shared" si="132"/>
        <v>42138</v>
      </c>
      <c r="CU47" s="45">
        <f t="shared" si="132"/>
        <v>47757</v>
      </c>
      <c r="CV47" s="45">
        <f t="shared" si="132"/>
        <v>55525</v>
      </c>
      <c r="CW47" s="45">
        <f t="shared" si="132"/>
        <v>83683</v>
      </c>
      <c r="CX47" s="45">
        <f t="shared" si="132"/>
        <v>103284</v>
      </c>
      <c r="CY47" s="45">
        <f t="shared" si="132"/>
        <v>125090.07239999999</v>
      </c>
      <c r="CZ47" s="45">
        <f t="shared" si="132"/>
        <v>173887.04295919999</v>
      </c>
      <c r="DA47" s="45">
        <f t="shared" si="132"/>
        <v>186985.08905387364</v>
      </c>
      <c r="DB47" s="45">
        <f t="shared" si="132"/>
        <v>199855.23792125471</v>
      </c>
      <c r="DC47" s="45">
        <f t="shared" si="132"/>
        <v>224516.19349450222</v>
      </c>
      <c r="DD47" s="45">
        <f t="shared" si="132"/>
        <v>250375.88077273063</v>
      </c>
      <c r="DE47" s="45">
        <f t="shared" si="132"/>
        <v>208216.86825008006</v>
      </c>
      <c r="DF47" s="45">
        <f t="shared" si="132"/>
        <v>181154.32438981615</v>
      </c>
      <c r="DG47" s="45">
        <f t="shared" si="132"/>
        <v>169606.0033821181</v>
      </c>
      <c r="DH47" s="45">
        <f t="shared" si="132"/>
        <v>165197.47920209082</v>
      </c>
      <c r="DI47" s="45">
        <f t="shared" si="132"/>
        <v>160054.60067500913</v>
      </c>
      <c r="DJ47" s="45">
        <f t="shared" ref="DJ47:EO47" si="133">DI47*(1+$DM$50)</f>
        <v>158454.05466825905</v>
      </c>
      <c r="DK47" s="45">
        <f t="shared" si="133"/>
        <v>156869.51412157645</v>
      </c>
      <c r="DL47" s="45">
        <f t="shared" si="133"/>
        <v>155300.81898036067</v>
      </c>
      <c r="DM47" s="45">
        <f t="shared" si="133"/>
        <v>153747.81079055707</v>
      </c>
      <c r="DN47" s="45">
        <f t="shared" si="133"/>
        <v>152210.3326826515</v>
      </c>
      <c r="DO47" s="45">
        <f t="shared" si="133"/>
        <v>150688.22935582499</v>
      </c>
      <c r="DP47" s="45">
        <f t="shared" si="133"/>
        <v>149181.34706226675</v>
      </c>
      <c r="DQ47" s="45">
        <f t="shared" si="133"/>
        <v>147689.53359164408</v>
      </c>
      <c r="DR47" s="45">
        <f t="shared" si="133"/>
        <v>146212.63825572765</v>
      </c>
      <c r="DS47" s="45">
        <f t="shared" si="133"/>
        <v>144750.51187317038</v>
      </c>
      <c r="DT47" s="45">
        <f t="shared" si="133"/>
        <v>143303.00675443868</v>
      </c>
      <c r="DU47" s="45">
        <f t="shared" si="133"/>
        <v>141869.97668689428</v>
      </c>
      <c r="DV47" s="45">
        <f t="shared" si="133"/>
        <v>140451.27692002532</v>
      </c>
      <c r="DW47" s="45">
        <f t="shared" si="133"/>
        <v>139046.76415082507</v>
      </c>
      <c r="DX47" s="45">
        <f t="shared" si="133"/>
        <v>137656.2965093168</v>
      </c>
      <c r="DY47" s="45">
        <f t="shared" si="133"/>
        <v>136279.73354422362</v>
      </c>
      <c r="DZ47" s="45">
        <f t="shared" si="133"/>
        <v>134916.93620878138</v>
      </c>
      <c r="EA47" s="45">
        <f t="shared" si="133"/>
        <v>133567.76684669356</v>
      </c>
      <c r="EB47" s="45">
        <f t="shared" si="133"/>
        <v>132232.08917822663</v>
      </c>
      <c r="EC47" s="45">
        <f t="shared" si="133"/>
        <v>130909.76828644436</v>
      </c>
      <c r="ED47" s="45">
        <f t="shared" si="133"/>
        <v>129600.67060357991</v>
      </c>
      <c r="EE47" s="45">
        <f t="shared" si="133"/>
        <v>128304.66389754412</v>
      </c>
      <c r="EF47" s="45">
        <f t="shared" si="133"/>
        <v>127021.61725856867</v>
      </c>
      <c r="EG47" s="45">
        <f t="shared" si="133"/>
        <v>125751.40108598299</v>
      </c>
      <c r="EH47" s="45">
        <f t="shared" si="133"/>
        <v>124493.88707512316</v>
      </c>
      <c r="EI47" s="45">
        <f t="shared" si="133"/>
        <v>123248.94820437193</v>
      </c>
      <c r="EJ47" s="45">
        <f t="shared" si="133"/>
        <v>122016.45872232821</v>
      </c>
      <c r="EK47" s="45">
        <f t="shared" si="133"/>
        <v>120796.29413510494</v>
      </c>
      <c r="EL47" s="45">
        <f t="shared" si="133"/>
        <v>119588.33119375388</v>
      </c>
      <c r="EM47" s="45">
        <f t="shared" si="133"/>
        <v>118392.44788181635</v>
      </c>
      <c r="EN47" s="45">
        <f t="shared" si="133"/>
        <v>117208.52340299818</v>
      </c>
      <c r="EO47" s="45">
        <f t="shared" si="133"/>
        <v>116036.43816896819</v>
      </c>
    </row>
    <row r="48" spans="1:145" s="12" customFormat="1" ht="13" customHeight="1">
      <c r="A48" s="8"/>
      <c r="B48" s="9" t="s">
        <v>140</v>
      </c>
      <c r="C48" s="11">
        <f t="shared" ref="C48:J48" si="134">C47/C49</f>
        <v>3.4807600191601473</v>
      </c>
      <c r="D48" s="11">
        <f t="shared" si="134"/>
        <v>3.994503718073068</v>
      </c>
      <c r="E48" s="11">
        <f t="shared" si="134"/>
        <v>4.3359375</v>
      </c>
      <c r="F48" s="11">
        <f t="shared" si="134"/>
        <v>3.7923177083333335</v>
      </c>
      <c r="G48" s="11">
        <f t="shared" si="134"/>
        <v>4.4050922147870084</v>
      </c>
      <c r="H48" s="11">
        <f t="shared" si="134"/>
        <v>4.9202171409771349</v>
      </c>
      <c r="I48" s="11">
        <f t="shared" si="134"/>
        <v>4.5809777186564684</v>
      </c>
      <c r="J48" s="11">
        <f t="shared" si="134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5">AQ47/AQ49</f>
        <v>4.4019981165295006</v>
      </c>
      <c r="AR48" s="11">
        <f t="shared" si="135"/>
        <v>4.2548027479534332</v>
      </c>
      <c r="AS48" s="11">
        <f t="shared" si="135"/>
        <v>3.7355324074074079</v>
      </c>
      <c r="AT48" s="11">
        <f t="shared" si="135"/>
        <v>3.5314409209924777</v>
      </c>
      <c r="AU48" s="11">
        <f t="shared" ref="AU48:AW48" si="136">AU47/AU49</f>
        <v>4.3618976029399485</v>
      </c>
      <c r="AV48" s="11">
        <f t="shared" si="136"/>
        <v>4.0255926159009858</v>
      </c>
      <c r="AW48" s="11">
        <f t="shared" si="136"/>
        <v>4.2954660374178326</v>
      </c>
      <c r="AX48" s="11">
        <f t="shared" ref="AX48:BB48" si="137">AX47/AX49</f>
        <v>3.6884864384547029</v>
      </c>
      <c r="AY48" s="11">
        <f t="shared" si="137"/>
        <v>5.0522337353490743</v>
      </c>
      <c r="AZ48" s="11">
        <f t="shared" si="137"/>
        <v>4.5311100686596442</v>
      </c>
      <c r="BA48" s="11">
        <f t="shared" si="137"/>
        <v>4.4100895036615135</v>
      </c>
      <c r="BB48" s="11">
        <f t="shared" si="137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38">BE47/BE49</f>
        <v>5.2753232055021106</v>
      </c>
      <c r="BF48" s="11">
        <f t="shared" si="138"/>
        <v>4.7550860036671621</v>
      </c>
      <c r="BG48" s="11">
        <f t="shared" si="138"/>
        <v>3.1117242587483025</v>
      </c>
      <c r="BH48" s="11">
        <f>BH47/BH49</f>
        <v>2.9256183823206361</v>
      </c>
      <c r="BI48" s="11">
        <f t="shared" ref="BI48:BS48" si="139">BI47/BI49</f>
        <v>3.1750055102490631</v>
      </c>
      <c r="BJ48" s="11">
        <f t="shared" si="139"/>
        <v>3.0052180065446183</v>
      </c>
      <c r="BK48" s="11">
        <f t="shared" si="139"/>
        <v>4.3902330940352741</v>
      </c>
      <c r="BL48" s="11">
        <f t="shared" si="139"/>
        <v>4.3148403144849636</v>
      </c>
      <c r="BM48" s="11">
        <f t="shared" si="139"/>
        <v>5.0073513031855645</v>
      </c>
      <c r="BN48" s="11">
        <f t="shared" si="139"/>
        <v>4.905302184303391</v>
      </c>
      <c r="BO48" s="11">
        <f t="shared" si="139"/>
        <v>5.6832569063863101</v>
      </c>
      <c r="BP48" s="11">
        <f t="shared" si="139"/>
        <v>4.4900792762126578</v>
      </c>
      <c r="BQ48" s="11">
        <f t="shared" si="139"/>
        <v>6.1206142809102122</v>
      </c>
      <c r="BR48" s="11">
        <f t="shared" si="139"/>
        <v>6.3359892267983389</v>
      </c>
      <c r="BS48" s="11">
        <f t="shared" si="139"/>
        <v>6.5297768981648083</v>
      </c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0">CJ47/CJ49</f>
        <v>24.600453988798879</v>
      </c>
      <c r="CK48" s="11">
        <f t="shared" si="140"/>
        <v>29.987792300730359</v>
      </c>
      <c r="CL48" s="11">
        <f t="shared" si="140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23.142410611755608</v>
      </c>
      <c r="CY48" s="65">
        <f>+CY47/CY49</f>
        <v>28.028405357412932</v>
      </c>
      <c r="CZ48" s="65">
        <f t="shared" ref="CZ48:DI48" si="141">+CZ47/CZ49</f>
        <v>38.962136906256468</v>
      </c>
      <c r="DA48" s="65">
        <f t="shared" si="141"/>
        <v>41.896960895786698</v>
      </c>
      <c r="DB48" s="65">
        <f t="shared" si="141"/>
        <v>44.780720914021408</v>
      </c>
      <c r="DC48" s="65">
        <f t="shared" si="141"/>
        <v>50.306397301016069</v>
      </c>
      <c r="DD48" s="65">
        <f t="shared" si="141"/>
        <v>56.100668449348383</v>
      </c>
      <c r="DE48" s="65">
        <f t="shared" si="141"/>
        <v>46.654276183505409</v>
      </c>
      <c r="DF48" s="65">
        <f t="shared" si="141"/>
        <v>40.590486030017225</v>
      </c>
      <c r="DG48" s="65">
        <f t="shared" si="141"/>
        <v>38.002902409741949</v>
      </c>
      <c r="DH48" s="65">
        <f t="shared" si="141"/>
        <v>37.015102975501947</v>
      </c>
      <c r="DI48" s="65">
        <f t="shared" si="141"/>
        <v>35.862759857496201</v>
      </c>
    </row>
    <row r="49" spans="1:145" ht="13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v>4455.5</v>
      </c>
      <c r="BS49" s="43">
        <v>4446.3999999999996</v>
      </c>
      <c r="BT49" s="43"/>
      <c r="BU49" s="43"/>
      <c r="BV49" s="43"/>
      <c r="BW49" s="47"/>
      <c r="BX49" s="43">
        <f>BX46</f>
        <v>2016</v>
      </c>
      <c r="BY49" s="43">
        <f t="shared" ref="BY49:CD49" si="142">BY46</f>
        <v>2001</v>
      </c>
      <c r="BZ49" s="43">
        <f t="shared" si="142"/>
        <v>3154</v>
      </c>
      <c r="CA49" s="43">
        <f t="shared" si="142"/>
        <v>3620</v>
      </c>
      <c r="CB49" s="43">
        <f t="shared" si="142"/>
        <v>4116</v>
      </c>
      <c r="CC49" s="43">
        <f t="shared" si="142"/>
        <v>954</v>
      </c>
      <c r="CD49" s="43">
        <f t="shared" si="142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4462.9750000000004</v>
      </c>
      <c r="CY49" s="45">
        <f>+CX49</f>
        <v>4462.9750000000004</v>
      </c>
      <c r="CZ49" s="45">
        <f t="shared" ref="CZ49:DI49" si="143">+CY49</f>
        <v>4462.9750000000004</v>
      </c>
      <c r="DA49" s="45">
        <f t="shared" si="143"/>
        <v>4462.9750000000004</v>
      </c>
      <c r="DB49" s="45">
        <f t="shared" si="143"/>
        <v>4462.9750000000004</v>
      </c>
      <c r="DC49" s="45">
        <f t="shared" si="143"/>
        <v>4462.9750000000004</v>
      </c>
      <c r="DD49" s="45">
        <f t="shared" si="143"/>
        <v>4462.9750000000004</v>
      </c>
      <c r="DE49" s="45">
        <f t="shared" si="143"/>
        <v>4462.9750000000004</v>
      </c>
      <c r="DF49" s="45">
        <f t="shared" si="143"/>
        <v>4462.9750000000004</v>
      </c>
      <c r="DG49" s="45">
        <f t="shared" si="143"/>
        <v>4462.9750000000004</v>
      </c>
      <c r="DH49" s="45">
        <f t="shared" si="143"/>
        <v>4462.9750000000004</v>
      </c>
      <c r="DI49" s="45">
        <f t="shared" si="143"/>
        <v>4462.9750000000004</v>
      </c>
      <c r="DJ49" s="39"/>
      <c r="DK49" s="39"/>
      <c r="DL49" s="36" t="s">
        <v>569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3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3" customHeight="1">
      <c r="B51" s="46" t="s">
        <v>144</v>
      </c>
      <c r="C51" s="52"/>
      <c r="D51" s="52"/>
      <c r="E51" s="52"/>
      <c r="F51" s="52"/>
      <c r="G51" s="53">
        <f t="shared" ref="G51:O51" si="144">G33/C33-1</f>
        <v>0.17750141322781232</v>
      </c>
      <c r="H51" s="53">
        <f t="shared" si="144"/>
        <v>0.17020702070207028</v>
      </c>
      <c r="I51" s="53">
        <f t="shared" si="144"/>
        <v>0.11550773608394094</v>
      </c>
      <c r="J51" s="53">
        <f t="shared" si="144"/>
        <v>4.2756099499324574E-2</v>
      </c>
      <c r="K51" s="53">
        <f t="shared" si="144"/>
        <v>9.4095055208833323E-2</v>
      </c>
      <c r="L51" s="53">
        <f t="shared" si="144"/>
        <v>0.18406276440273817</v>
      </c>
      <c r="M51" s="53">
        <f t="shared" si="144"/>
        <v>0.24224790753288161</v>
      </c>
      <c r="N51" s="53">
        <f t="shared" si="144"/>
        <v>0.22886975078119054</v>
      </c>
      <c r="O51" s="53">
        <f t="shared" si="144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5">AQ33/AM33-1</f>
        <v>-5.349360326163366E-2</v>
      </c>
      <c r="AR51" s="53">
        <f t="shared" ref="AR51" si="146">AR33/AN33-1</f>
        <v>-4.2984845310426678E-2</v>
      </c>
      <c r="AS51" s="53">
        <f t="shared" ref="AS51" si="147">AS33/AO33-1</f>
        <v>4.3135192004208234E-2</v>
      </c>
      <c r="AT51" s="53">
        <f t="shared" ref="AT51" si="148">AT33/AP33-1</f>
        <v>6.2160617319234168E-2</v>
      </c>
      <c r="AU51" s="53">
        <f t="shared" ref="AU51:AV51" si="149">AU33/AQ33-1</f>
        <v>8.7671741552172389E-2</v>
      </c>
      <c r="AV51" s="53">
        <f t="shared" si="149"/>
        <v>9.5924398876199524E-2</v>
      </c>
      <c r="AW51" s="53">
        <f t="shared" ref="AW51" si="150">AW33/AS33-1</f>
        <v>9.0591455946977817E-2</v>
      </c>
      <c r="AX51" s="53">
        <f t="shared" ref="AX51" si="151">AX33/AT33-1</f>
        <v>9.0306740212565684E-2</v>
      </c>
      <c r="AY51" s="53">
        <f t="shared" ref="AY51" si="152">AY33/AU33-1</f>
        <v>0.15649858318254761</v>
      </c>
      <c r="AZ51" s="53">
        <f t="shared" ref="AZ51" si="153">AZ33/AV33-1</f>
        <v>-9.9880143827402179E-4</v>
      </c>
      <c r="BA51" s="53">
        <f t="shared" ref="BA51:BH51" si="154">BA33/AW33-1</f>
        <v>2.1468441391155002E-2</v>
      </c>
      <c r="BB51" s="53">
        <f t="shared" si="154"/>
        <v>-8.6065953049325739E-3</v>
      </c>
      <c r="BC51" s="53">
        <f t="shared" si="154"/>
        <v>-2.0959409594095701E-3</v>
      </c>
      <c r="BD51" s="53">
        <f t="shared" si="154"/>
        <v>0.10114643737919082</v>
      </c>
      <c r="BE51" s="53">
        <f t="shared" si="154"/>
        <v>0.15180909884566884</v>
      </c>
      <c r="BF51" s="53">
        <f t="shared" si="154"/>
        <v>0.19276246188312895</v>
      </c>
      <c r="BG51" s="53">
        <f t="shared" si="154"/>
        <v>0.24337356525854936</v>
      </c>
      <c r="BH51" s="53">
        <f t="shared" si="154"/>
        <v>0.24890287824218404</v>
      </c>
      <c r="BI51" s="53">
        <f t="shared" ref="BI51:BJ51" si="155">BI33/BE33-1</f>
        <v>0.27915333221043181</v>
      </c>
      <c r="BJ51" s="53">
        <f t="shared" si="155"/>
        <v>0.2545848224767171</v>
      </c>
      <c r="BK51" s="53">
        <f t="shared" ref="BK51:BV51" si="156">BK33/BG33-1</f>
        <v>0.26970569341676387</v>
      </c>
      <c r="BL51" s="53">
        <f t="shared" si="156"/>
        <v>0.31588513267902574</v>
      </c>
      <c r="BM51" s="53">
        <f t="shared" si="156"/>
        <v>0.28892156432427685</v>
      </c>
      <c r="BN51" s="53">
        <f t="shared" si="156"/>
        <v>0.36952091824003985</v>
      </c>
      <c r="BO51" s="53">
        <f t="shared" si="156"/>
        <v>0.22452077126314007</v>
      </c>
      <c r="BP51" s="53">
        <f t="shared" si="156"/>
        <v>0.2534069981583793</v>
      </c>
      <c r="BQ51" s="53">
        <f t="shared" si="156"/>
        <v>0.21419693177368004</v>
      </c>
      <c r="BR51" s="53">
        <f t="shared" si="156"/>
        <v>0.30092768322123198</v>
      </c>
      <c r="BS51" s="53">
        <f>BS33/BO33-1</f>
        <v>0.19492264610016985</v>
      </c>
      <c r="BT51" s="53">
        <f t="shared" si="156"/>
        <v>0.15047707904789887</v>
      </c>
      <c r="BU51" s="53">
        <f t="shared" si="156"/>
        <v>7.5500133219278842E-2</v>
      </c>
      <c r="BV51" s="53">
        <f t="shared" si="156"/>
        <v>5.0846375593758486E-2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7">CJ33/CI33-1</f>
        <v>0.18784325222319942</v>
      </c>
      <c r="CK51" s="54">
        <f t="shared" si="157"/>
        <v>9.164801895485053E-2</v>
      </c>
      <c r="CL51" s="54">
        <f t="shared" si="157"/>
        <v>0.17604678503602322</v>
      </c>
      <c r="CM51" s="54">
        <f t="shared" si="157"/>
        <v>7.1078871145515699E-2</v>
      </c>
      <c r="CN51" s="54">
        <f t="shared" si="157"/>
        <v>6.262863159910026E-2</v>
      </c>
      <c r="CO51" s="54">
        <f t="shared" si="157"/>
        <v>0.21531202846654507</v>
      </c>
      <c r="CP51" s="54">
        <f t="shared" si="157"/>
        <v>3.5700056519684553E-2</v>
      </c>
      <c r="CQ51" s="54">
        <f t="shared" si="157"/>
        <v>-7.5147611379500212E-4</v>
      </c>
      <c r="CR51" s="54">
        <f t="shared" si="157"/>
        <v>1.208637730984119E-3</v>
      </c>
      <c r="CS51" s="54">
        <f t="shared" si="157"/>
        <v>9.1119635879139071E-2</v>
      </c>
      <c r="CT51" s="54">
        <f t="shared" si="157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>CY33/CX33-1</f>
        <v>0.11267146000557848</v>
      </c>
      <c r="CZ51" s="54">
        <f t="shared" ref="CZ51:DI51" si="158">CZ33/CY33-1</f>
        <v>4.2538191246166646E-2</v>
      </c>
      <c r="DA51" s="54">
        <f t="shared" si="158"/>
        <v>5.1106344843852458E-2</v>
      </c>
      <c r="DB51" s="54">
        <f t="shared" si="158"/>
        <v>4.7239780602439607E-2</v>
      </c>
      <c r="DC51" s="54">
        <f t="shared" si="158"/>
        <v>9.14613034760412E-2</v>
      </c>
      <c r="DD51" s="54">
        <f t="shared" si="158"/>
        <v>8.7435897485392822E-2</v>
      </c>
      <c r="DE51" s="54">
        <f t="shared" si="158"/>
        <v>-0.14756222519096307</v>
      </c>
      <c r="DF51" s="54">
        <f t="shared" si="158"/>
        <v>-0.11260902285644303</v>
      </c>
      <c r="DG51" s="54">
        <f t="shared" si="158"/>
        <v>-5.7413002357750487E-2</v>
      </c>
      <c r="DH51" s="54">
        <f t="shared" si="158"/>
        <v>-2.7018079795506966E-2</v>
      </c>
      <c r="DI51" s="54">
        <f t="shared" si="158"/>
        <v>-3.1135403751708979E-2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3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9">
        <v>0.18</v>
      </c>
      <c r="BT52" s="69">
        <v>0.18</v>
      </c>
      <c r="BU52" s="69"/>
      <c r="BV52" s="69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1972501.3887146257</v>
      </c>
    </row>
    <row r="53" spans="1:145" ht="13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59">AV17/AR17-1</f>
        <v>10.923076923076923</v>
      </c>
      <c r="AW53" s="54">
        <f t="shared" ref="AW53" si="160">AW17/AS17-1</f>
        <v>4.7814814814814817</v>
      </c>
      <c r="AX53" s="54">
        <f t="shared" ref="AX53" si="161">AX17/AT17-1</f>
        <v>3.400201612903226</v>
      </c>
      <c r="AY53" s="54">
        <f t="shared" ref="AY53" si="162">AY17/AU17-1</f>
        <v>2.3368421052631581</v>
      </c>
      <c r="AZ53" s="54">
        <f t="shared" ref="AZ53" si="163">AZ17/AV17-1</f>
        <v>1.08</v>
      </c>
      <c r="BA53" s="54">
        <f t="shared" ref="BA53:BH53" si="164">BA17/AW17-1</f>
        <v>0.73991031390134521</v>
      </c>
      <c r="BB53" s="54">
        <f t="shared" si="164"/>
        <v>0.41764032073310431</v>
      </c>
      <c r="BC53" s="54">
        <f t="shared" si="164"/>
        <v>0.40105152471083061</v>
      </c>
      <c r="BD53" s="54">
        <f t="shared" si="164"/>
        <v>0.53742762613730366</v>
      </c>
      <c r="BE53" s="54">
        <f t="shared" si="164"/>
        <v>0.63696612665684826</v>
      </c>
      <c r="BF53" s="54">
        <f t="shared" si="164"/>
        <v>0.73173884938590827</v>
      </c>
      <c r="BG53" s="54">
        <f t="shared" si="164"/>
        <v>0.80651456019213441</v>
      </c>
      <c r="BH53" s="54">
        <f t="shared" si="164"/>
        <v>0.9299260255548083</v>
      </c>
      <c r="BI53" s="54">
        <f t="shared" ref="BI53:BQ53" si="165">BI17/BE17-1</f>
        <v>0.84322986954565904</v>
      </c>
      <c r="BJ53" s="54">
        <f t="shared" si="165"/>
        <v>0.58417319895483399</v>
      </c>
      <c r="BK53" s="54">
        <f t="shared" si="165"/>
        <v>0.63190693809721643</v>
      </c>
      <c r="BL53" s="54">
        <f t="shared" si="165"/>
        <v>0.54024670708760203</v>
      </c>
      <c r="BM53" s="54">
        <f t="shared" si="165"/>
        <v>0.45893837705918239</v>
      </c>
      <c r="BN53" s="54">
        <f t="shared" si="165"/>
        <v>0.77102968897266733</v>
      </c>
      <c r="BO53" s="54">
        <f t="shared" si="165"/>
        <v>0.41598778004073322</v>
      </c>
      <c r="BP53" s="54">
        <f>BP17/BL17-1</f>
        <v>0.30650196823673137</v>
      </c>
      <c r="BQ53" s="54">
        <f t="shared" si="165"/>
        <v>0.24640347942455665</v>
      </c>
      <c r="BR53" s="54">
        <f>BR17/BN17-1</f>
        <v>0.12599368035922165</v>
      </c>
      <c r="BS53" s="54">
        <f>BS17/BO17-1</f>
        <v>0.1765911542610572</v>
      </c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6">+CU17/CT17-1</f>
        <v>0.58903399179670934</v>
      </c>
      <c r="CV53" s="49">
        <f t="shared" si="166"/>
        <v>0.77273401572466982</v>
      </c>
      <c r="CW53" s="49">
        <f t="shared" si="166"/>
        <v>0.6019748953974895</v>
      </c>
      <c r="CX53" s="49">
        <f t="shared" si="166"/>
        <v>0.25725568858521908</v>
      </c>
      <c r="CY53" s="49">
        <f t="shared" si="166"/>
        <v>0.12969661464825255</v>
      </c>
      <c r="CZ53" s="49">
        <f t="shared" si="166"/>
        <v>5.0000000000000044E-2</v>
      </c>
      <c r="DA53" s="49">
        <f t="shared" si="166"/>
        <v>5.0000000000000044E-2</v>
      </c>
      <c r="DB53" s="49">
        <f t="shared" si="166"/>
        <v>5.0000000000000044E-2</v>
      </c>
      <c r="DC53" s="49">
        <f t="shared" si="166"/>
        <v>5.0000000000000044E-2</v>
      </c>
      <c r="DD53" s="49">
        <f t="shared" si="166"/>
        <v>5.0000000000000044E-2</v>
      </c>
      <c r="DE53" s="49">
        <f t="shared" si="166"/>
        <v>-0.30000000000000004</v>
      </c>
      <c r="DF53" s="49">
        <f t="shared" si="166"/>
        <v>-0.30000000000000004</v>
      </c>
      <c r="DG53" s="49">
        <f t="shared" si="166"/>
        <v>-0.30000000000000004</v>
      </c>
      <c r="DH53" s="49">
        <f t="shared" si="166"/>
        <v>-0.30000000000000004</v>
      </c>
      <c r="DI53" s="49">
        <f t="shared" si="166"/>
        <v>-0.30000000000000004</v>
      </c>
      <c r="DJ53" s="39"/>
      <c r="DK53" s="39"/>
      <c r="DL53" s="36" t="s">
        <v>570</v>
      </c>
      <c r="DM53" s="51">
        <f>DM52/Main!$J$3</f>
        <v>443.65753232447724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3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7">SUM(AU15:AU21)/SUM(AQ15:AQ21)-1</f>
        <v>0.22407732864674879</v>
      </c>
      <c r="AV54" s="54">
        <f t="shared" ref="AV54" si="168">SUM(AV15:AV21)/SUM(AR15:AR21)-1</f>
        <v>0.35184369031878937</v>
      </c>
      <c r="AW54" s="54">
        <f t="shared" ref="AW54" si="169">SUM(AW15:AW21)/SUM(AS15:AS21)-1</f>
        <v>0.29992148652185291</v>
      </c>
      <c r="AX54" s="54">
        <f t="shared" ref="AX54" si="170">SUM(AX15:AX21)/SUM(AT15:AT21)-1</f>
        <v>0.30787753697970421</v>
      </c>
      <c r="AY54" s="54">
        <f t="shared" ref="AY54" si="171">SUM(AY15:AY21)/SUM(AU15:AU21)-1</f>
        <v>0.38214883943527167</v>
      </c>
      <c r="AZ54" s="54">
        <f t="shared" ref="AZ54" si="172">SUM(AZ15:AZ21)/SUM(AV15:AV21)-1</f>
        <v>0.16637687459247985</v>
      </c>
      <c r="BA54" s="54">
        <f t="shared" ref="BA54:BS54" si="173">SUM(BA15:BA21)/SUM(AW15:AW21)-1</f>
        <v>0.20686531105294947</v>
      </c>
      <c r="BB54" s="54">
        <f t="shared" si="173"/>
        <v>0.15421707873049262</v>
      </c>
      <c r="BC54" s="54">
        <f t="shared" si="173"/>
        <v>0.11244806094182835</v>
      </c>
      <c r="BD54" s="54">
        <f t="shared" si="173"/>
        <v>0.31081710612130808</v>
      </c>
      <c r="BE54" s="54">
        <f t="shared" si="173"/>
        <v>0.35507548586204019</v>
      </c>
      <c r="BF54" s="54">
        <f t="shared" si="173"/>
        <v>0.43038359285985561</v>
      </c>
      <c r="BG54" s="54">
        <f t="shared" si="173"/>
        <v>0.62026301455139676</v>
      </c>
      <c r="BH54" s="54">
        <f t="shared" si="173"/>
        <v>0.62584405430378842</v>
      </c>
      <c r="BI54" s="54">
        <f>SUM(BI15:BI21)/SUM(BE15:BE21)-1</f>
        <v>0.64341991874923066</v>
      </c>
      <c r="BJ54" s="54">
        <f t="shared" si="173"/>
        <v>0.58462110349954854</v>
      </c>
      <c r="BK54" s="54">
        <f t="shared" si="173"/>
        <v>0.66424935164729604</v>
      </c>
      <c r="BL54" s="54">
        <f t="shared" si="173"/>
        <v>0.67137361196117862</v>
      </c>
      <c r="BM54" s="54">
        <f t="shared" si="173"/>
        <v>0.60642720701149866</v>
      </c>
      <c r="BN54" s="54">
        <f t="shared" si="173"/>
        <v>0.64175603217158184</v>
      </c>
      <c r="BO54" s="54">
        <f t="shared" si="173"/>
        <v>0.32793697515366627</v>
      </c>
      <c r="BP54" s="54">
        <f t="shared" si="173"/>
        <v>0.33240040804582671</v>
      </c>
      <c r="BQ54" s="54">
        <f t="shared" si="173"/>
        <v>0.25287945908137099</v>
      </c>
      <c r="BR54" s="54">
        <f t="shared" si="173"/>
        <v>0.29779546846295157</v>
      </c>
      <c r="BS54" s="54">
        <f t="shared" si="173"/>
        <v>0.26036030162765944</v>
      </c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607</v>
      </c>
      <c r="DM54" s="87">
        <v>333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3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4">AU13/AQ13-1</f>
        <v>5.0071628351183506E-2</v>
      </c>
      <c r="AV55" s="54">
        <f t="shared" ref="AV55" si="175">AV13/AR13-1</f>
        <v>-2.0111731843575398E-2</v>
      </c>
      <c r="AW55" s="54">
        <f t="shared" ref="AW55" si="176">AW13/AS13-1</f>
        <v>-1.335149863760221E-2</v>
      </c>
      <c r="AX55" s="54">
        <f t="shared" ref="AX55" si="177">AX13/AT13-1</f>
        <v>-1.2912197059992025E-2</v>
      </c>
      <c r="AY55" s="54">
        <f t="shared" ref="AY55" si="178">AY13/AU13-1</f>
        <v>3.3846553628272602E-2</v>
      </c>
      <c r="AZ55" s="54">
        <f t="shared" ref="AZ55" si="179">AZ13/AV13-1</f>
        <v>-8.7396874371185151E-2</v>
      </c>
      <c r="BA55" s="54">
        <f t="shared" ref="BA55:BS55" si="180">BA13/AW13-1</f>
        <v>-7.4634078983706109E-2</v>
      </c>
      <c r="BB55" s="54">
        <f t="shared" si="180"/>
        <v>-8.5865700677534074E-2</v>
      </c>
      <c r="BC55" s="54">
        <f t="shared" si="180"/>
        <v>-6.5853965062209419E-2</v>
      </c>
      <c r="BD55" s="54">
        <f t="shared" si="180"/>
        <v>-3.3000146993973245E-2</v>
      </c>
      <c r="BE55" s="54">
        <f t="shared" si="180"/>
        <v>4.5288368275759217E-2</v>
      </c>
      <c r="BF55" s="54">
        <f t="shared" si="180"/>
        <v>2.5390768327584912E-2</v>
      </c>
      <c r="BG55" s="54">
        <f t="shared" si="180"/>
        <v>6.4576886855913784E-3</v>
      </c>
      <c r="BH55" s="54">
        <f t="shared" si="180"/>
        <v>-6.1868207038078604E-2</v>
      </c>
      <c r="BI55" s="54">
        <f t="shared" si="180"/>
        <v>-7.487508922198427E-2</v>
      </c>
      <c r="BJ55" s="54">
        <f t="shared" si="180"/>
        <v>-9.2106204823588333E-2</v>
      </c>
      <c r="BK55" s="54">
        <f t="shared" si="180"/>
        <v>-0.1037962839192621</v>
      </c>
      <c r="BL55" s="54">
        <f t="shared" si="180"/>
        <v>-8.5473547759863933E-2</v>
      </c>
      <c r="BM55" s="54">
        <f t="shared" si="180"/>
        <v>-0.12468173752025302</v>
      </c>
      <c r="BN55" s="54">
        <f t="shared" si="180"/>
        <v>-5.565189973198803E-2</v>
      </c>
      <c r="BO55" s="54">
        <f t="shared" si="180"/>
        <v>7.129539861287193E-2</v>
      </c>
      <c r="BP55" s="54">
        <f t="shared" si="180"/>
        <v>0.11729270021261518</v>
      </c>
      <c r="BQ55" s="54">
        <f t="shared" si="180"/>
        <v>0.10260026443367121</v>
      </c>
      <c r="BR55" s="54">
        <f t="shared" si="180"/>
        <v>0.32612687813021712</v>
      </c>
      <c r="BS55" s="54">
        <f t="shared" si="180"/>
        <v>4.3995823181343541E-2</v>
      </c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0.33230490187530703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3" customHeight="1">
      <c r="B56" s="36" t="s">
        <v>147</v>
      </c>
      <c r="C56" s="55">
        <f t="shared" ref="C56:N56" si="181">C35/C33</f>
        <v>0.77265875259091765</v>
      </c>
      <c r="D56" s="55">
        <f t="shared" si="181"/>
        <v>0.77011701170117008</v>
      </c>
      <c r="E56" s="55">
        <f t="shared" si="181"/>
        <v>0.76827316379157029</v>
      </c>
      <c r="F56" s="55">
        <f t="shared" si="181"/>
        <v>0.79845823730429943</v>
      </c>
      <c r="G56" s="55">
        <f t="shared" si="181"/>
        <v>0.79932789246279401</v>
      </c>
      <c r="H56" s="55">
        <f t="shared" si="181"/>
        <v>0.79924621182985922</v>
      </c>
      <c r="I56" s="55">
        <f t="shared" si="181"/>
        <v>0.78373854125149467</v>
      </c>
      <c r="J56" s="55">
        <f t="shared" si="181"/>
        <v>0.79468028351497599</v>
      </c>
      <c r="K56" s="55">
        <f t="shared" si="181"/>
        <v>0.80327629077080587</v>
      </c>
      <c r="L56" s="55">
        <f t="shared" si="181"/>
        <v>0.80713264908405868</v>
      </c>
      <c r="M56" s="55">
        <f t="shared" si="181"/>
        <v>0.8116016427104723</v>
      </c>
      <c r="N56" s="55">
        <f t="shared" si="181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2">AQ35/AQ33</f>
        <v>0.8441515038989974</v>
      </c>
      <c r="AR56" s="55">
        <f t="shared" si="182"/>
        <v>0.84120845039588421</v>
      </c>
      <c r="AS56" s="55">
        <f t="shared" si="182"/>
        <v>0.84096967077299911</v>
      </c>
      <c r="AT56" s="55">
        <f t="shared" si="182"/>
        <v>0.8435019507601238</v>
      </c>
      <c r="AU56" s="55">
        <f t="shared" ref="AU56:AW56" si="183">AU35/AU33</f>
        <v>0.83844867024000547</v>
      </c>
      <c r="AV56" s="55">
        <f t="shared" si="183"/>
        <v>0.83856039419363426</v>
      </c>
      <c r="AW56" s="55">
        <f t="shared" si="183"/>
        <v>0.83238101529213593</v>
      </c>
      <c r="AX56" s="55">
        <f t="shared" ref="AX56:BV56" si="184">AX35/AX33</f>
        <v>0.83243359965450225</v>
      </c>
      <c r="AY56" s="55">
        <f t="shared" si="184"/>
        <v>0.84100369003690034</v>
      </c>
      <c r="AZ56" s="55">
        <f t="shared" si="184"/>
        <v>0.84096514030527225</v>
      </c>
      <c r="BA56" s="55">
        <f t="shared" si="184"/>
        <v>0.83331716623015484</v>
      </c>
      <c r="BB56" s="55">
        <f t="shared" si="184"/>
        <v>0.8251602464372394</v>
      </c>
      <c r="BC56" s="55">
        <f t="shared" si="184"/>
        <v>0.82809726659566918</v>
      </c>
      <c r="BD56" s="55">
        <f t="shared" si="184"/>
        <v>0.83211767198329345</v>
      </c>
      <c r="BE56" s="55">
        <f t="shared" si="184"/>
        <v>0.82990848352141933</v>
      </c>
      <c r="BF56" s="55">
        <f t="shared" si="184"/>
        <v>0.83718988860772703</v>
      </c>
      <c r="BG56" s="55">
        <f t="shared" si="184"/>
        <v>0.83543099141110133</v>
      </c>
      <c r="BH56" s="55">
        <f t="shared" si="184"/>
        <v>0.85292620865139945</v>
      </c>
      <c r="BI56" s="55">
        <f t="shared" si="184"/>
        <v>0.8419874467804942</v>
      </c>
      <c r="BJ56" s="55">
        <f t="shared" si="184"/>
        <v>0.82820427513931627</v>
      </c>
      <c r="BK56" s="55">
        <f t="shared" si="184"/>
        <v>0.84668428054790412</v>
      </c>
      <c r="BL56" s="55">
        <f t="shared" si="184"/>
        <v>0.85532228360957641</v>
      </c>
      <c r="BM56" s="55">
        <f t="shared" si="184"/>
        <v>0.83461885545963799</v>
      </c>
      <c r="BN56" s="55">
        <f t="shared" si="184"/>
        <v>0.84795712311920202</v>
      </c>
      <c r="BO56" s="55">
        <f t="shared" si="184"/>
        <v>0.8482608762184578</v>
      </c>
      <c r="BP56" s="55">
        <f t="shared" si="184"/>
        <v>0.84904496032912136</v>
      </c>
      <c r="BQ56" s="55">
        <f t="shared" si="184"/>
        <v>0.84142698882360367</v>
      </c>
      <c r="BR56" s="55">
        <f t="shared" si="184"/>
        <v>0.84799785254951388</v>
      </c>
      <c r="BS56" s="55">
        <f t="shared" si="184"/>
        <v>0.83492770883757861</v>
      </c>
      <c r="BT56" s="55">
        <f t="shared" si="184"/>
        <v>0</v>
      </c>
      <c r="BU56" s="55">
        <f t="shared" si="184"/>
        <v>0</v>
      </c>
      <c r="BV56" s="55">
        <f t="shared" si="184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5">CI35/CI33</f>
        <v>0.79429297371249874</v>
      </c>
      <c r="CJ56" s="55">
        <f t="shared" si="185"/>
        <v>0.80781887587205481</v>
      </c>
      <c r="CK56" s="55">
        <f t="shared" si="185"/>
        <v>0.81025231362855332</v>
      </c>
      <c r="CL56" s="55">
        <f t="shared" si="185"/>
        <v>0.82742931843231748</v>
      </c>
      <c r="CM56" s="55">
        <f t="shared" si="185"/>
        <v>0</v>
      </c>
      <c r="CN56" s="55">
        <f t="shared" si="185"/>
        <v>0.83602459293290998</v>
      </c>
      <c r="CO56" s="55">
        <f t="shared" si="185"/>
        <v>0.85000972879816916</v>
      </c>
      <c r="CP56" s="55">
        <f t="shared" si="185"/>
        <v>0.84627840400787258</v>
      </c>
      <c r="CQ56" s="55">
        <f t="shared" si="185"/>
        <v>0.84214295946139517</v>
      </c>
      <c r="CR56" s="55">
        <f t="shared" si="185"/>
        <v>0.84246765208215968</v>
      </c>
      <c r="CS56" s="55">
        <f t="shared" si="185"/>
        <v>0.8353725997983954</v>
      </c>
      <c r="CT56" s="55">
        <f t="shared" si="185"/>
        <v>0.83511099207537065</v>
      </c>
      <c r="CU56" s="55">
        <f t="shared" si="185"/>
        <v>0.83197443181818187</v>
      </c>
      <c r="CV56" s="55">
        <f t="shared" si="185"/>
        <v>0.83923505543813648</v>
      </c>
      <c r="CW56" s="55">
        <f t="shared" si="185"/>
        <v>0.84601375177063731</v>
      </c>
      <c r="CX56" s="55">
        <f t="shared" si="185"/>
        <v>0.84668891161592685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3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6">+AQ36/AQ33</f>
        <v>0.23954697363535091</v>
      </c>
      <c r="AR57" s="55">
        <f t="shared" si="186"/>
        <v>0.25869303462619037</v>
      </c>
      <c r="AS57" s="55">
        <f t="shared" si="186"/>
        <v>0.25675383617894965</v>
      </c>
      <c r="AT57" s="55">
        <f t="shared" si="186"/>
        <v>0.29355576483250367</v>
      </c>
      <c r="AU57" s="55">
        <f t="shared" ref="AU57:AW57" si="187">+AU36/AU33</f>
        <v>0.23713768734423543</v>
      </c>
      <c r="AV57" s="55">
        <f t="shared" si="187"/>
        <v>0.252363830070582</v>
      </c>
      <c r="AW57" s="55">
        <f t="shared" si="187"/>
        <v>0.25633319021039075</v>
      </c>
      <c r="AX57" s="55">
        <f t="shared" ref="AX57:BS57" si="188">+AX36/AX33</f>
        <v>0.29416664095999012</v>
      </c>
      <c r="AY57" s="55">
        <f t="shared" si="188"/>
        <v>0.22405904059040591</v>
      </c>
      <c r="AZ57" s="55">
        <f t="shared" si="188"/>
        <v>0.24655068986202761</v>
      </c>
      <c r="BA57" s="55">
        <f t="shared" si="188"/>
        <v>0.26429980276134124</v>
      </c>
      <c r="BB57" s="55">
        <f t="shared" si="188"/>
        <v>0.30387703030680191</v>
      </c>
      <c r="BC57" s="55">
        <f t="shared" si="188"/>
        <v>0.24423145189918352</v>
      </c>
      <c r="BD57" s="55">
        <f t="shared" si="188"/>
        <v>0.24215368784237765</v>
      </c>
      <c r="BE57" s="55">
        <f t="shared" si="188"/>
        <v>0.25599348717084947</v>
      </c>
      <c r="BF57" s="55">
        <f t="shared" si="188"/>
        <v>0.30344611692275586</v>
      </c>
      <c r="BG57" s="55">
        <f t="shared" si="188"/>
        <v>0.24227355999143491</v>
      </c>
      <c r="BH57" s="55">
        <f t="shared" si="188"/>
        <v>0.26269235429540772</v>
      </c>
      <c r="BI57" s="55">
        <f t="shared" si="188"/>
        <v>0.25130579818285564</v>
      </c>
      <c r="BJ57" s="55">
        <f t="shared" si="188"/>
        <v>0.28576478416368628</v>
      </c>
      <c r="BK57" s="55">
        <f t="shared" si="188"/>
        <v>0.23257818502070568</v>
      </c>
      <c r="BL57" s="55">
        <f t="shared" si="188"/>
        <v>0.26412523020257828</v>
      </c>
      <c r="BM57" s="55">
        <f t="shared" si="188"/>
        <v>0.21826633294171732</v>
      </c>
      <c r="BN57" s="55">
        <f t="shared" si="188"/>
        <v>0.26069264989447793</v>
      </c>
      <c r="BO57" s="55">
        <f t="shared" si="188"/>
        <v>0.2028493167454743</v>
      </c>
      <c r="BP57" s="55">
        <f t="shared" si="188"/>
        <v>0.21942403761387011</v>
      </c>
      <c r="BQ57" s="55">
        <f t="shared" si="188"/>
        <v>0.21329107711292788</v>
      </c>
      <c r="BR57" s="55">
        <f t="shared" si="188"/>
        <v>0.21825799750242172</v>
      </c>
      <c r="BS57" s="55">
        <f t="shared" si="188"/>
        <v>0.19071036151984325</v>
      </c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89">+CV36/CV33</f>
        <v>0.26118087186500444</v>
      </c>
      <c r="CW57" s="49">
        <f t="shared" si="189"/>
        <v>0.24430705111921502</v>
      </c>
      <c r="CX57" s="49">
        <f t="shared" si="189"/>
        <v>0.21384420959838568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3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0">+AQ37/AQ33</f>
        <v>0.12331971778685481</v>
      </c>
      <c r="AR58" s="55">
        <f t="shared" si="190"/>
        <v>0.12026124712664647</v>
      </c>
      <c r="AS58" s="55">
        <f t="shared" si="190"/>
        <v>0.13125855485915999</v>
      </c>
      <c r="AT58" s="55">
        <f t="shared" si="190"/>
        <v>0.15283196555899367</v>
      </c>
      <c r="AU58" s="55">
        <f t="shared" ref="AU58:AW58" si="191">+AU37/AU33</f>
        <v>9.1427400908128773E-2</v>
      </c>
      <c r="AV58" s="55">
        <f t="shared" si="191"/>
        <v>0.11842455719802904</v>
      </c>
      <c r="AW58" s="55">
        <f t="shared" si="191"/>
        <v>0.11893516530699871</v>
      </c>
      <c r="AX58" s="55">
        <f t="shared" ref="AX58:BS58" si="192">+AX37/AX33</f>
        <v>0.13523768393127064</v>
      </c>
      <c r="AY58" s="55">
        <f t="shared" si="192"/>
        <v>0.11149815498154982</v>
      </c>
      <c r="AZ58" s="55">
        <f t="shared" si="192"/>
        <v>0.10967806438712258</v>
      </c>
      <c r="BA58" s="55">
        <f t="shared" si="192"/>
        <v>0.12645908106185533</v>
      </c>
      <c r="BB58" s="55">
        <f t="shared" si="192"/>
        <v>0.13949218993092288</v>
      </c>
      <c r="BC58" s="55">
        <f t="shared" si="192"/>
        <v>0.11667258312625725</v>
      </c>
      <c r="BD58" s="55">
        <f t="shared" si="192"/>
        <v>0.11936684725038589</v>
      </c>
      <c r="BE58" s="55">
        <f t="shared" si="192"/>
        <v>0.11936443770703498</v>
      </c>
      <c r="BF58" s="55">
        <f t="shared" si="192"/>
        <v>0.14692301672188454</v>
      </c>
      <c r="BG58" s="55">
        <f t="shared" si="192"/>
        <v>0.12386095976779044</v>
      </c>
      <c r="BH58" s="55">
        <f t="shared" si="192"/>
        <v>0.124148794377802</v>
      </c>
      <c r="BI58" s="55">
        <f t="shared" si="192"/>
        <v>0.12362287670631611</v>
      </c>
      <c r="BJ58" s="55">
        <f t="shared" si="192"/>
        <v>0.16811527904849038</v>
      </c>
      <c r="BK58" s="55">
        <f t="shared" si="192"/>
        <v>0.12607041804860683</v>
      </c>
      <c r="BL58" s="55">
        <f t="shared" si="192"/>
        <v>0.1312523020257827</v>
      </c>
      <c r="BM58" s="55">
        <f t="shared" si="192"/>
        <v>0.13839369327952869</v>
      </c>
      <c r="BN58" s="55">
        <f t="shared" si="192"/>
        <v>0.15881450890484794</v>
      </c>
      <c r="BO58" s="55">
        <f t="shared" si="192"/>
        <v>0.13169291037353287</v>
      </c>
      <c r="BP58" s="55">
        <f t="shared" si="192"/>
        <v>0.23752571260652366</v>
      </c>
      <c r="BQ58" s="55">
        <f t="shared" si="192"/>
        <v>0.13305100194920841</v>
      </c>
      <c r="BR58" s="55">
        <f t="shared" si="192"/>
        <v>0.16108212831016655</v>
      </c>
      <c r="BS58" s="55">
        <f t="shared" si="192"/>
        <v>0.13200660801413808</v>
      </c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3">+CV37/CV33</f>
        <v>0.13589407416616747</v>
      </c>
      <c r="CW58" s="49">
        <f t="shared" si="193"/>
        <v>0.13968337344625228</v>
      </c>
      <c r="CX58" s="49">
        <f t="shared" si="193"/>
        <v>0.16550104509939637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3" customHeight="1">
      <c r="B59" s="36" t="s">
        <v>148</v>
      </c>
      <c r="C59" s="55">
        <f t="shared" ref="C59:N59" si="194">C46/C45</f>
        <v>0.42991631799163182</v>
      </c>
      <c r="D59" s="55">
        <f t="shared" si="194"/>
        <v>0.27451556077510275</v>
      </c>
      <c r="E59" s="55">
        <f t="shared" si="194"/>
        <v>0.25752508361204013</v>
      </c>
      <c r="F59" s="55">
        <f t="shared" si="194"/>
        <v>0.24104234527687296</v>
      </c>
      <c r="G59" s="55">
        <f t="shared" si="194"/>
        <v>0.22995720399429387</v>
      </c>
      <c r="H59" s="55">
        <f t="shared" si="194"/>
        <v>0.22991761071060762</v>
      </c>
      <c r="I59" s="55">
        <f t="shared" si="194"/>
        <v>0.23620737454948712</v>
      </c>
      <c r="J59" s="55">
        <f t="shared" si="194"/>
        <v>0.22359625668449198</v>
      </c>
      <c r="K59" s="55">
        <f t="shared" si="194"/>
        <v>0.23002084781097984</v>
      </c>
      <c r="L59" s="55">
        <f t="shared" si="194"/>
        <v>0.23003472222222221</v>
      </c>
      <c r="M59" s="55">
        <f t="shared" si="194"/>
        <v>0.23002577319587628</v>
      </c>
      <c r="N59" s="55">
        <f t="shared" si="194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5">+AQ46/AQ45</f>
        <v>0.21000808288632522</v>
      </c>
      <c r="AR59" s="55">
        <f t="shared" si="195"/>
        <v>0.17242758841414627</v>
      </c>
      <c r="AS59" s="55">
        <f t="shared" si="195"/>
        <v>0.18863350691326988</v>
      </c>
      <c r="AT59" s="55">
        <f t="shared" si="195"/>
        <v>0.18061716489874638</v>
      </c>
      <c r="AU59" s="55">
        <f t="shared" ref="AU59:AW59" si="196">+AU46/AU45</f>
        <v>0.21002873997882318</v>
      </c>
      <c r="AV59" s="55">
        <f t="shared" si="196"/>
        <v>0.20996294771510909</v>
      </c>
      <c r="AW59" s="55">
        <f t="shared" si="196"/>
        <v>0.15800776410341125</v>
      </c>
      <c r="AX59" s="55">
        <f t="shared" ref="AX59:BS59" si="197">+AX46/AX45</f>
        <v>0.21319613683545446</v>
      </c>
      <c r="AY59" s="55">
        <f t="shared" si="197"/>
        <v>0.20797550096531522</v>
      </c>
      <c r="AZ59" s="55">
        <f t="shared" si="197"/>
        <v>0.20803518187239117</v>
      </c>
      <c r="BA59" s="55">
        <f t="shared" si="197"/>
        <v>0.18855882121188244</v>
      </c>
      <c r="BB59" s="55">
        <f t="shared" si="197"/>
        <v>0.22362939510081653</v>
      </c>
      <c r="BC59" s="55">
        <f t="shared" si="197"/>
        <v>0.20799347471451876</v>
      </c>
      <c r="BD59" s="55">
        <f t="shared" si="197"/>
        <v>0.18730307702621171</v>
      </c>
      <c r="BE59" s="55">
        <f t="shared" si="197"/>
        <v>0.19805452620434091</v>
      </c>
      <c r="BF59" s="55">
        <f t="shared" si="197"/>
        <v>0.16937390375962785</v>
      </c>
      <c r="BG59" s="55">
        <f t="shared" si="197"/>
        <v>0.20698699704224566</v>
      </c>
      <c r="BH59" s="55">
        <f t="shared" si="197"/>
        <v>0.20702590056564454</v>
      </c>
      <c r="BI59" s="55">
        <f t="shared" si="197"/>
        <v>0.20114241348713399</v>
      </c>
      <c r="BJ59" s="55">
        <f t="shared" si="197"/>
        <v>0.16695268448149056</v>
      </c>
      <c r="BK59" s="55">
        <f t="shared" si="197"/>
        <v>0.19901362331729797</v>
      </c>
      <c r="BL59" s="55">
        <f t="shared" si="197"/>
        <v>0.19897748824936093</v>
      </c>
      <c r="BM59" s="55">
        <f t="shared" si="197"/>
        <v>0.19901649859245268</v>
      </c>
      <c r="BN59" s="55">
        <f t="shared" si="197"/>
        <v>0.20481535119478639</v>
      </c>
      <c r="BO59" s="55">
        <f t="shared" si="197"/>
        <v>0.20399147816279214</v>
      </c>
      <c r="BP59" s="55">
        <f t="shared" si="197"/>
        <v>0.20851097426180326</v>
      </c>
      <c r="BQ59" s="55">
        <f t="shared" si="197"/>
        <v>0.20599697533736622</v>
      </c>
      <c r="BR59" s="55">
        <f t="shared" si="197"/>
        <v>0.20606350367016341</v>
      </c>
      <c r="BS59" s="55">
        <f t="shared" si="197"/>
        <v>0.21599654362325493</v>
      </c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198">+CS46/CS45</f>
        <v>0.19776326900500485</v>
      </c>
      <c r="CT59" s="49">
        <f t="shared" si="198"/>
        <v>0.20688876341050255</v>
      </c>
      <c r="CU59" s="49">
        <f t="shared" si="198"/>
        <v>0.19165538253215977</v>
      </c>
      <c r="CV59" s="49">
        <f t="shared" si="198"/>
        <v>0.19601227882192812</v>
      </c>
      <c r="CW59" s="49">
        <f>+CW46/CW45</f>
        <v>0.20053690505760743</v>
      </c>
      <c r="CX59" s="49">
        <f>+CX46/CX45</f>
        <v>0.20236008247932225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3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3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3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3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56">
        <v>76302</v>
      </c>
      <c r="BS65" s="56">
        <v>77406</v>
      </c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3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199">+AQ68-AQ77</f>
        <v>13791</v>
      </c>
      <c r="AR67" s="61">
        <f t="shared" si="199"/>
        <v>18787</v>
      </c>
      <c r="AS67" s="61">
        <f t="shared" si="199"/>
        <v>16158</v>
      </c>
      <c r="AT67" s="61">
        <f t="shared" si="199"/>
        <v>15076</v>
      </c>
      <c r="AU67" s="61">
        <f t="shared" si="199"/>
        <v>4405</v>
      </c>
      <c r="AV67" s="61">
        <f t="shared" si="199"/>
        <v>11306</v>
      </c>
      <c r="AW67" s="61">
        <f t="shared" si="199"/>
        <v>15270</v>
      </c>
      <c r="AX67" s="61">
        <f t="shared" si="199"/>
        <v>12254</v>
      </c>
      <c r="AY67" s="61">
        <f t="shared" si="199"/>
        <v>6964</v>
      </c>
      <c r="AZ67" s="61">
        <f t="shared" ref="AZ67" si="200">+AZ68-AZ77</f>
        <v>22884</v>
      </c>
      <c r="BA67" s="61">
        <f t="shared" ref="BA67" si="201">+BA68-BA77</f>
        <v>23695</v>
      </c>
      <c r="BB67" s="61">
        <f t="shared" ref="BB67" si="202">+BB68-BB77</f>
        <v>5016</v>
      </c>
      <c r="BC67" s="61">
        <f t="shared" ref="BC67:BF67" si="203">+BC68-BC77</f>
        <v>-322</v>
      </c>
      <c r="BD67" s="61">
        <f t="shared" si="203"/>
        <v>15382</v>
      </c>
      <c r="BE67" s="61">
        <f t="shared" si="203"/>
        <v>23282</v>
      </c>
      <c r="BF67" s="61">
        <f t="shared" si="203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4">+BJ68-BJ77</f>
        <v>-1043</v>
      </c>
      <c r="BK67" s="61">
        <f t="shared" si="204"/>
        <v>3818</v>
      </c>
      <c r="BL67" s="61">
        <f t="shared" si="204"/>
        <v>13246</v>
      </c>
      <c r="BM67" s="61">
        <f t="shared" si="204"/>
        <v>23113</v>
      </c>
      <c r="BN67" s="61">
        <f t="shared" si="204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+BR68-BR77</f>
        <v>-75007</v>
      </c>
      <c r="BS67" s="61">
        <f>+BS68-BS77</f>
        <v>-73239</v>
      </c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-75007</v>
      </c>
      <c r="CY67" s="17">
        <f>+CX67+CY47</f>
        <v>50083.07239999999</v>
      </c>
      <c r="CZ67" s="17">
        <f t="shared" ref="CZ67:DI67" si="205">+CY67+CZ47</f>
        <v>223970.11535919999</v>
      </c>
      <c r="DA67" s="17">
        <f t="shared" si="205"/>
        <v>410955.2044130736</v>
      </c>
      <c r="DB67" s="17">
        <f t="shared" si="205"/>
        <v>610810.44233432831</v>
      </c>
      <c r="DC67" s="17">
        <f t="shared" si="205"/>
        <v>835326.63582883053</v>
      </c>
      <c r="DD67" s="17">
        <f t="shared" si="205"/>
        <v>1085702.5166015611</v>
      </c>
      <c r="DE67" s="17">
        <f t="shared" si="205"/>
        <v>1293919.3848516413</v>
      </c>
      <c r="DF67" s="17">
        <f t="shared" si="205"/>
        <v>1475073.7092414573</v>
      </c>
      <c r="DG67" s="17">
        <f t="shared" si="205"/>
        <v>1644679.7126235755</v>
      </c>
      <c r="DH67" s="17">
        <f t="shared" si="205"/>
        <v>1809877.1918256662</v>
      </c>
      <c r="DI67" s="17">
        <f t="shared" si="205"/>
        <v>1969931.7925006754</v>
      </c>
    </row>
    <row r="68" spans="1:145" s="17" customFormat="1" ht="13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>
        <f>400+15655+6326+10653+2277</f>
        <v>35311</v>
      </c>
      <c r="BS68" s="61">
        <f>394+38938+3626+2612+2306</f>
        <v>47876</v>
      </c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3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>
        <f>12612+4016</f>
        <v>16628</v>
      </c>
      <c r="BS69" s="61">
        <v>13924</v>
      </c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3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>
        <f>2853+24627</f>
        <v>27480</v>
      </c>
      <c r="BS70" s="61">
        <f>2983+26275</f>
        <v>29258</v>
      </c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3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>
        <v>71949</v>
      </c>
      <c r="BS71" s="61">
        <f>69459+4037</f>
        <v>73496</v>
      </c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3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>
        <v>40849</v>
      </c>
      <c r="BS72" s="61">
        <v>42853</v>
      </c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3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>
        <v>162488</v>
      </c>
      <c r="BS73" s="61">
        <v>172376</v>
      </c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3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>
        <v>111090</v>
      </c>
      <c r="BS74" s="61">
        <v>109379</v>
      </c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3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6">SUM(AQ68:AQ74)</f>
        <v>93558</v>
      </c>
      <c r="AR75" s="61">
        <f t="shared" si="206"/>
        <v>103248</v>
      </c>
      <c r="AS75" s="61">
        <f t="shared" si="206"/>
        <v>101895</v>
      </c>
      <c r="AT75" s="61">
        <f t="shared" si="206"/>
        <v>110769</v>
      </c>
      <c r="AU75" s="61">
        <f t="shared" ref="AU75:AX75" si="207">SUM(AU68:AU74)</f>
        <v>110135</v>
      </c>
      <c r="AV75" s="61">
        <f t="shared" si="207"/>
        <v>117909</v>
      </c>
      <c r="AW75" s="61">
        <f t="shared" si="207"/>
        <v>124908</v>
      </c>
      <c r="AX75" s="61">
        <f t="shared" si="207"/>
        <v>125612</v>
      </c>
      <c r="AY75" s="61">
        <f t="shared" ref="AY75" si="208">SUM(AY68:AY74)</f>
        <v>126256</v>
      </c>
      <c r="AZ75" s="61">
        <f t="shared" ref="AZ75" si="209">SUM(AZ68:AZ74)</f>
        <v>136121</v>
      </c>
      <c r="BA75" s="61">
        <f t="shared" ref="BA75" si="210">SUM(BA68:BA74)</f>
        <v>139947</v>
      </c>
      <c r="BB75" s="61">
        <f t="shared" ref="BB75" si="211">SUM(BB68:BB74)</f>
        <v>144922</v>
      </c>
      <c r="BC75" s="61">
        <f t="shared" ref="BC75:BF75" si="212">SUM(BC68:BC74)</f>
        <v>141387</v>
      </c>
      <c r="BD75" s="61">
        <f t="shared" si="212"/>
        <v>158095</v>
      </c>
      <c r="BE75" s="61">
        <f t="shared" si="212"/>
        <v>174084</v>
      </c>
      <c r="BF75" s="61">
        <f t="shared" si="212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S75" si="213">SUM(BJ68:BJ74)</f>
        <v>241257</v>
      </c>
      <c r="BK75" s="61">
        <f t="shared" si="213"/>
        <v>250025</v>
      </c>
      <c r="BL75" s="61">
        <f t="shared" si="213"/>
        <v>280753</v>
      </c>
      <c r="BM75" s="61">
        <f t="shared" si="213"/>
        <v>300101</v>
      </c>
      <c r="BN75" s="61">
        <f t="shared" si="213"/>
        <v>314486</v>
      </c>
      <c r="BO75" s="61">
        <f t="shared" si="213"/>
        <v>298921</v>
      </c>
      <c r="BP75" s="61">
        <f t="shared" si="213"/>
        <v>369383</v>
      </c>
      <c r="BQ75" s="61">
        <f t="shared" si="213"/>
        <v>397441</v>
      </c>
      <c r="BR75" s="61">
        <f t="shared" si="213"/>
        <v>465795</v>
      </c>
      <c r="BS75" s="61">
        <f t="shared" si="213"/>
        <v>489162</v>
      </c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3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3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>
        <f>89674+13113+7531</f>
        <v>110318</v>
      </c>
      <c r="BS77" s="61">
        <f>96310+22413+2392</f>
        <v>121115</v>
      </c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3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>
        <f>8755+120329</f>
        <v>129084</v>
      </c>
      <c r="BS78" s="61">
        <f>8633+117650</f>
        <v>126283</v>
      </c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3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>
        <f>23+37993</f>
        <v>38016</v>
      </c>
      <c r="BS79" s="61">
        <f>21+58585</f>
        <v>58606</v>
      </c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3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>
        <f>5426+9716</f>
        <v>15142</v>
      </c>
      <c r="BS80" s="61">
        <f>8705+15501</f>
        <v>24206</v>
      </c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3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>
        <v>28846</v>
      </c>
      <c r="BS81" s="61">
        <v>19576</v>
      </c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3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>
        <v>903</v>
      </c>
      <c r="BS82" s="61">
        <v>836</v>
      </c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3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>
        <v>143486</v>
      </c>
      <c r="BS83" s="61">
        <v>138540</v>
      </c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3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4">SUM(AQ77:AQ83)</f>
        <v>93558</v>
      </c>
      <c r="AR84" s="61">
        <f t="shared" si="214"/>
        <v>103248</v>
      </c>
      <c r="AS84" s="61">
        <f t="shared" si="214"/>
        <v>101895</v>
      </c>
      <c r="AT84" s="61">
        <f t="shared" si="214"/>
        <v>110769</v>
      </c>
      <c r="AU84" s="61">
        <f t="shared" ref="AU84:AX84" si="215">SUM(AU77:AU83)</f>
        <v>110135</v>
      </c>
      <c r="AV84" s="61">
        <f t="shared" si="215"/>
        <v>117909</v>
      </c>
      <c r="AW84" s="61">
        <f t="shared" si="215"/>
        <v>124908</v>
      </c>
      <c r="AX84" s="61">
        <f t="shared" si="215"/>
        <v>125612</v>
      </c>
      <c r="AY84" s="61">
        <f t="shared" ref="AY84:BB84" si="216">SUM(AY77:AY83)</f>
        <v>126256</v>
      </c>
      <c r="AZ84" s="61">
        <f t="shared" si="216"/>
        <v>136121</v>
      </c>
      <c r="BA84" s="61">
        <f t="shared" si="216"/>
        <v>139947</v>
      </c>
      <c r="BB84" s="61">
        <f t="shared" si="216"/>
        <v>144922</v>
      </c>
      <c r="BC84" s="61">
        <f t="shared" ref="BC84:BS84" si="217">SUM(BC77:BC83)</f>
        <v>154109</v>
      </c>
      <c r="BD84" s="61">
        <f t="shared" si="217"/>
        <v>158095</v>
      </c>
      <c r="BE84" s="61">
        <f t="shared" si="217"/>
        <v>174084</v>
      </c>
      <c r="BF84" s="61">
        <f t="shared" si="217"/>
        <v>194508</v>
      </c>
      <c r="BG84" s="61">
        <f t="shared" si="217"/>
        <v>197136</v>
      </c>
      <c r="BH84" s="61">
        <f t="shared" si="217"/>
        <v>218928</v>
      </c>
      <c r="BI84" s="61">
        <f t="shared" si="217"/>
        <v>242836</v>
      </c>
      <c r="BJ84" s="61">
        <f t="shared" si="217"/>
        <v>241257</v>
      </c>
      <c r="BK84" s="61">
        <f t="shared" si="217"/>
        <v>250025</v>
      </c>
      <c r="BL84" s="61">
        <f t="shared" si="217"/>
        <v>280753</v>
      </c>
      <c r="BM84" s="61">
        <f t="shared" si="217"/>
        <v>300101</v>
      </c>
      <c r="BN84" s="61">
        <f t="shared" si="217"/>
        <v>314486</v>
      </c>
      <c r="BO84" s="61">
        <f t="shared" si="217"/>
        <v>298921</v>
      </c>
      <c r="BP84" s="61">
        <f t="shared" si="217"/>
        <v>369383</v>
      </c>
      <c r="BQ84" s="61">
        <f t="shared" si="217"/>
        <v>397441</v>
      </c>
      <c r="BR84" s="61">
        <f t="shared" si="217"/>
        <v>465795</v>
      </c>
      <c r="BS84" s="61">
        <f t="shared" si="217"/>
        <v>489162</v>
      </c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3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3" customHeight="1">
      <c r="A86" s="75"/>
      <c r="B86" s="45" t="s">
        <v>299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18">+AQ47</f>
        <v>10751</v>
      </c>
      <c r="AR86" s="61">
        <f t="shared" si="218"/>
        <v>10343</v>
      </c>
      <c r="AS86" s="61">
        <f t="shared" si="218"/>
        <v>9037</v>
      </c>
      <c r="AT86" s="61">
        <f t="shared" si="218"/>
        <v>8497</v>
      </c>
      <c r="AU86" s="61">
        <f t="shared" ref="AU86:BJ86" si="219">+AU47</f>
        <v>10445</v>
      </c>
      <c r="AV86" s="61">
        <f t="shared" si="219"/>
        <v>9595</v>
      </c>
      <c r="AW86" s="61">
        <f t="shared" si="219"/>
        <v>10194</v>
      </c>
      <c r="AX86" s="61">
        <f t="shared" si="219"/>
        <v>8717</v>
      </c>
      <c r="AY86" s="61">
        <f t="shared" si="219"/>
        <v>11897</v>
      </c>
      <c r="AZ86" s="61">
        <f t="shared" si="219"/>
        <v>10625</v>
      </c>
      <c r="BA86" s="61">
        <f t="shared" si="219"/>
        <v>10298</v>
      </c>
      <c r="BB86" s="61">
        <f t="shared" si="219"/>
        <v>9318</v>
      </c>
      <c r="BC86" s="61">
        <f t="shared" si="219"/>
        <v>12623</v>
      </c>
      <c r="BD86" s="61">
        <f t="shared" si="219"/>
        <v>12123</v>
      </c>
      <c r="BE86" s="61">
        <f t="shared" si="219"/>
        <v>12119</v>
      </c>
      <c r="BF86" s="61">
        <f t="shared" si="219"/>
        <v>10892</v>
      </c>
      <c r="BG86" s="61">
        <f t="shared" si="219"/>
        <v>14210</v>
      </c>
      <c r="BH86" s="61">
        <f t="shared" si="219"/>
        <v>13318</v>
      </c>
      <c r="BI86" s="61">
        <f t="shared" si="219"/>
        <v>14405</v>
      </c>
      <c r="BJ86" s="61">
        <f t="shared" si="219"/>
        <v>13592</v>
      </c>
      <c r="BK86" s="61">
        <f t="shared" ref="BK86:BQ86" si="220">+BK47</f>
        <v>19814</v>
      </c>
      <c r="BL86" s="61">
        <f t="shared" si="220"/>
        <v>19428</v>
      </c>
      <c r="BM86" s="61">
        <f t="shared" si="220"/>
        <v>22478</v>
      </c>
      <c r="BN86" s="61">
        <f t="shared" si="220"/>
        <v>21963</v>
      </c>
      <c r="BO86" s="61">
        <f t="shared" si="220"/>
        <v>25407</v>
      </c>
      <c r="BP86" s="61">
        <f t="shared" si="220"/>
        <v>20050</v>
      </c>
      <c r="BQ86" s="61">
        <f t="shared" si="220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3" customHeight="1">
      <c r="A87" s="75"/>
      <c r="B87" s="45" t="s">
        <v>298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3" customHeight="1">
      <c r="A88" s="75"/>
      <c r="B88" s="45" t="s">
        <v>301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3" customHeight="1">
      <c r="A89" s="75"/>
      <c r="B89" s="45" t="s">
        <v>306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3" customHeight="1">
      <c r="A90" s="75"/>
      <c r="B90" s="45" t="s">
        <v>305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3" customHeight="1">
      <c r="A91" s="75"/>
      <c r="B91" s="45" t="s">
        <v>304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3" customHeight="1">
      <c r="A92" s="75"/>
      <c r="B92" s="45" t="s">
        <v>303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3" customHeight="1">
      <c r="A93" s="75"/>
      <c r="B93" s="45" t="s">
        <v>302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3" customHeight="1">
      <c r="A94" s="75"/>
      <c r="B94" s="45" t="s">
        <v>301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3" customHeight="1">
      <c r="A95" s="75"/>
      <c r="B95" s="45" t="s">
        <v>300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1">SUM(AU87:AU94)</f>
        <v>9890</v>
      </c>
      <c r="AV95" s="61">
        <f t="shared" si="221"/>
        <v>15039</v>
      </c>
      <c r="AW95" s="61">
        <f t="shared" si="221"/>
        <v>16688</v>
      </c>
      <c r="AX95" s="61">
        <f t="shared" si="221"/>
        <v>5165</v>
      </c>
      <c r="AY95" s="61">
        <f t="shared" ref="AY95:BB95" si="222">SUM(AY87:AY94)</f>
        <v>10012</v>
      </c>
      <c r="AZ95" s="61">
        <f t="shared" si="222"/>
        <v>24261</v>
      </c>
      <c r="BA95" s="61">
        <f t="shared" si="222"/>
        <v>17506</v>
      </c>
      <c r="BB95" s="61">
        <f t="shared" si="222"/>
        <v>172</v>
      </c>
      <c r="BC95" s="61">
        <f t="shared" ref="BC95:BQ95" si="223">SUM(BC87:BC94)</f>
        <v>11255</v>
      </c>
      <c r="BD95" s="61">
        <f t="shared" si="223"/>
        <v>25255</v>
      </c>
      <c r="BE95" s="61">
        <f t="shared" si="223"/>
        <v>21507</v>
      </c>
      <c r="BF95" s="61">
        <f t="shared" si="223"/>
        <v>-3017</v>
      </c>
      <c r="BG95" s="61">
        <f t="shared" si="223"/>
        <v>23586</v>
      </c>
      <c r="BH95" s="61">
        <f t="shared" si="223"/>
        <v>23961</v>
      </c>
      <c r="BI95" s="61">
        <f t="shared" si="223"/>
        <v>24239</v>
      </c>
      <c r="BJ95" s="61">
        <f t="shared" si="223"/>
        <v>7101</v>
      </c>
      <c r="BK95" s="61">
        <f t="shared" si="223"/>
        <v>29814</v>
      </c>
      <c r="BL95" s="61">
        <f t="shared" si="223"/>
        <v>28577</v>
      </c>
      <c r="BM95" s="61">
        <f t="shared" si="223"/>
        <v>40966</v>
      </c>
      <c r="BN95" s="61">
        <f t="shared" si="223"/>
        <v>9551</v>
      </c>
      <c r="BO95" s="61">
        <f t="shared" si="223"/>
        <v>14314</v>
      </c>
      <c r="BP95" s="61">
        <f t="shared" si="223"/>
        <v>42238</v>
      </c>
      <c r="BQ95" s="61">
        <f t="shared" si="223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3" customHeight="1">
      <c r="A97" s="75"/>
      <c r="B97" s="45" t="s">
        <v>307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3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3" customHeight="1">
      <c r="A99" s="75"/>
      <c r="B99" s="45" t="s">
        <v>432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3" customHeight="1">
      <c r="A100" s="75"/>
      <c r="B100" s="45" t="s">
        <v>308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3" customHeight="1">
      <c r="A101" s="75"/>
      <c r="B101" s="45" t="s">
        <v>309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4">SUM(AQ97:AQ100)</f>
        <v>-2574</v>
      </c>
      <c r="AR101" s="61">
        <f t="shared" si="224"/>
        <v>-2543</v>
      </c>
      <c r="AS101" s="61">
        <f t="shared" si="224"/>
        <v>-2864</v>
      </c>
      <c r="AT101" s="61">
        <f t="shared" si="224"/>
        <v>-4099</v>
      </c>
      <c r="AU101" s="61">
        <f t="shared" ref="AU101:AX101" si="225">SUM(AU97:AU100)</f>
        <v>-3026</v>
      </c>
      <c r="AV101" s="61">
        <f t="shared" si="225"/>
        <v>-2833</v>
      </c>
      <c r="AW101" s="61">
        <f t="shared" si="225"/>
        <v>-2441</v>
      </c>
      <c r="AX101" s="61">
        <f t="shared" si="225"/>
        <v>-3209</v>
      </c>
      <c r="AY101" s="61">
        <f t="shared" ref="AY101:BB101" si="226">SUM(AY97:AY100)</f>
        <v>-2106</v>
      </c>
      <c r="AZ101" s="61">
        <f t="shared" si="226"/>
        <v>-1367</v>
      </c>
      <c r="BA101" s="61">
        <f t="shared" si="226"/>
        <v>-6063</v>
      </c>
      <c r="BB101" s="61">
        <f t="shared" si="226"/>
        <v>-12900</v>
      </c>
      <c r="BC101" s="61">
        <f t="shared" ref="BC101" si="227">SUM(BC97:BC100)</f>
        <v>-3481</v>
      </c>
      <c r="BD101" s="61">
        <f t="shared" ref="BD101" si="228">SUM(BD97:BD100)</f>
        <v>-2886</v>
      </c>
      <c r="BE101" s="61">
        <f t="shared" ref="BE101" si="229">SUM(BE97:BE100)</f>
        <v>-4635</v>
      </c>
      <c r="BF101" s="61">
        <f t="shared" ref="BF101" si="230">SUM(BF97:BF100)</f>
        <v>-20603</v>
      </c>
      <c r="BG101" s="61">
        <f t="shared" ref="BG101:BJ101" si="231">SUM(BG97:BG100)</f>
        <v>-1907</v>
      </c>
      <c r="BH101" s="61">
        <f t="shared" si="231"/>
        <v>-4200</v>
      </c>
      <c r="BI101" s="61">
        <f t="shared" si="231"/>
        <v>-4961</v>
      </c>
      <c r="BJ101" s="61">
        <f t="shared" si="231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2">SUM(BP97:BP100)</f>
        <v>-20731</v>
      </c>
      <c r="BQ101" s="61">
        <f t="shared" si="232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3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3" customHeight="1">
      <c r="A103" s="75"/>
      <c r="B103" s="45" t="s">
        <v>373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3" customHeight="1">
      <c r="A104" s="75"/>
      <c r="B104" s="45" t="s">
        <v>312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3" customHeight="1">
      <c r="A105" s="75"/>
      <c r="B105" s="45" t="s">
        <v>311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3" customHeight="1">
      <c r="A106" s="75"/>
      <c r="B106" s="45" t="s">
        <v>310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3" customHeight="1">
      <c r="A107" s="75"/>
      <c r="B107" s="45" t="s">
        <v>309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3">SUM(AQ103:AQ106)</f>
        <v>-14137</v>
      </c>
      <c r="AR107" s="61">
        <f t="shared" si="233"/>
        <v>-5423</v>
      </c>
      <c r="AS107" s="61">
        <f t="shared" si="233"/>
        <v>-10809</v>
      </c>
      <c r="AT107" s="61">
        <f t="shared" si="233"/>
        <v>-4152</v>
      </c>
      <c r="AU107" s="61">
        <f t="shared" ref="AU107:AX107" si="234">SUM(AU103:AU106)</f>
        <v>-13525</v>
      </c>
      <c r="AV107" s="61">
        <f t="shared" si="234"/>
        <v>-6746</v>
      </c>
      <c r="AW107" s="61">
        <f t="shared" si="234"/>
        <v>-10012</v>
      </c>
      <c r="AX107" s="61">
        <f t="shared" si="234"/>
        <v>-5201</v>
      </c>
      <c r="AY107" s="61">
        <f t="shared" ref="AY107:BB107" si="235">SUM(AY103:AY106)</f>
        <v>-13509</v>
      </c>
      <c r="AZ107" s="61">
        <f t="shared" si="235"/>
        <v>-7681</v>
      </c>
      <c r="BA107" s="61">
        <f t="shared" si="235"/>
        <v>-10694</v>
      </c>
      <c r="BB107" s="61">
        <f t="shared" si="235"/>
        <v>-360</v>
      </c>
      <c r="BC107" s="61">
        <f t="shared" ref="BC107:BF107" si="236">SUM(BC103:BC106)</f>
        <v>-14475</v>
      </c>
      <c r="BD107" s="61">
        <f t="shared" si="236"/>
        <v>-3836</v>
      </c>
      <c r="BE107" s="61">
        <f t="shared" si="236"/>
        <v>-11731</v>
      </c>
      <c r="BF107" s="61">
        <f t="shared" si="236"/>
        <v>4549</v>
      </c>
      <c r="BG107" s="61">
        <f t="shared" ref="BG107:BQ107" si="237">SUM(BG103:BG106)</f>
        <v>-19135</v>
      </c>
      <c r="BH107" s="61">
        <f t="shared" si="237"/>
        <v>-10431</v>
      </c>
      <c r="BI107" s="61">
        <f t="shared" si="237"/>
        <v>-14563</v>
      </c>
      <c r="BJ107" s="61">
        <f t="shared" si="237"/>
        <v>-7668</v>
      </c>
      <c r="BK107" s="61">
        <f t="shared" si="237"/>
        <v>-20621</v>
      </c>
      <c r="BL107" s="61">
        <f t="shared" si="237"/>
        <v>-12589</v>
      </c>
      <c r="BM107" s="61">
        <f t="shared" si="237"/>
        <v>-19832</v>
      </c>
      <c r="BN107" s="61">
        <f t="shared" si="237"/>
        <v>-10116</v>
      </c>
      <c r="BO107" s="61">
        <f t="shared" si="237"/>
        <v>-26382</v>
      </c>
      <c r="BP107" s="61">
        <f t="shared" si="237"/>
        <v>16683</v>
      </c>
      <c r="BQ107" s="61">
        <f t="shared" si="237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3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3" customHeight="1">
      <c r="A109" s="75"/>
      <c r="B109" s="45" t="s">
        <v>313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3" customHeight="1">
      <c r="A110" s="75"/>
      <c r="B110" s="45" t="s">
        <v>314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38">+AQ109+AQ107+AQ101+AQ95</f>
        <v>-6873</v>
      </c>
      <c r="AR110" s="61">
        <f t="shared" si="238"/>
        <v>7862</v>
      </c>
      <c r="AS110" s="61">
        <f t="shared" si="238"/>
        <v>-2083</v>
      </c>
      <c r="AT110" s="61">
        <f t="shared" si="238"/>
        <v>-797</v>
      </c>
      <c r="AU110" s="61">
        <f t="shared" ref="AU110:AX110" si="239">+AU109+AU107+AU101+AU95</f>
        <v>-6583</v>
      </c>
      <c r="AV110" s="61">
        <f t="shared" si="239"/>
        <v>5400</v>
      </c>
      <c r="AW110" s="61">
        <f t="shared" si="239"/>
        <v>4310</v>
      </c>
      <c r="AX110" s="61">
        <f t="shared" si="239"/>
        <v>-3345</v>
      </c>
      <c r="AY110" s="61">
        <f t="shared" ref="AY110:BB110" si="240">+AY109+AY107+AY101+AY95</f>
        <v>-5698</v>
      </c>
      <c r="AZ110" s="61">
        <f t="shared" si="240"/>
        <v>15138</v>
      </c>
      <c r="BA110" s="61">
        <f t="shared" si="240"/>
        <v>614</v>
      </c>
      <c r="BB110" s="61">
        <f t="shared" si="240"/>
        <v>-13239</v>
      </c>
      <c r="BC110" s="61">
        <f t="shared" ref="BC110:BF110" si="241">+BC109+BC107+BC101+BC95</f>
        <v>-6547</v>
      </c>
      <c r="BD110" s="61">
        <f t="shared" si="241"/>
        <v>18548</v>
      </c>
      <c r="BE110" s="61">
        <f t="shared" si="241"/>
        <v>5263</v>
      </c>
      <c r="BF110" s="61">
        <f t="shared" si="241"/>
        <v>-18771</v>
      </c>
      <c r="BG110" s="61">
        <f t="shared" ref="BG110:BQ110" si="242">+BG109+BG107+BG101+BG95</f>
        <v>2489</v>
      </c>
      <c r="BH110" s="61">
        <f t="shared" si="242"/>
        <v>9548</v>
      </c>
      <c r="BI110" s="61">
        <f t="shared" si="242"/>
        <v>5158</v>
      </c>
      <c r="BJ110" s="61">
        <f t="shared" si="242"/>
        <v>-15261</v>
      </c>
      <c r="BK110" s="61">
        <f t="shared" si="242"/>
        <v>2283</v>
      </c>
      <c r="BL110" s="61">
        <f t="shared" si="242"/>
        <v>6638</v>
      </c>
      <c r="BM110" s="61">
        <f t="shared" si="242"/>
        <v>8309</v>
      </c>
      <c r="BN110" s="61">
        <f t="shared" si="242"/>
        <v>-15491</v>
      </c>
      <c r="BO110" s="61">
        <f t="shared" si="242"/>
        <v>-8068</v>
      </c>
      <c r="BP110" s="61">
        <f t="shared" si="242"/>
        <v>38232</v>
      </c>
      <c r="BQ110" s="61">
        <f t="shared" si="242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3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483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555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254</v>
      </c>
    </row>
    <row r="13" spans="1:3">
      <c r="C13" s="73" t="s">
        <v>556</v>
      </c>
    </row>
    <row r="14" spans="1:3">
      <c r="C14" s="73" t="s">
        <v>557</v>
      </c>
    </row>
    <row r="15" spans="1:3">
      <c r="C15" s="73" t="s">
        <v>558</v>
      </c>
    </row>
    <row r="16" spans="1:3">
      <c r="C16" s="73" t="s">
        <v>559</v>
      </c>
    </row>
    <row r="17" spans="2:5">
      <c r="C17" s="73"/>
    </row>
    <row r="18" spans="2:5">
      <c r="C18" s="60" t="s">
        <v>266</v>
      </c>
    </row>
    <row r="19" spans="2:5">
      <c r="C19" s="60" t="s">
        <v>364</v>
      </c>
    </row>
    <row r="20" spans="2:5">
      <c r="C20" s="60"/>
    </row>
    <row r="21" spans="2:5">
      <c r="C21" s="80">
        <v>27800</v>
      </c>
      <c r="D21" s="73" t="s">
        <v>550</v>
      </c>
    </row>
    <row r="22" spans="2:5">
      <c r="C22" s="78">
        <f>27800*0.15</f>
        <v>4170</v>
      </c>
      <c r="D22" s="60" t="s">
        <v>551</v>
      </c>
    </row>
    <row r="23" spans="2:5">
      <c r="C23" s="61">
        <f>119832/DKK</f>
        <v>16698.298566113455</v>
      </c>
      <c r="D23" s="79" t="s">
        <v>554</v>
      </c>
    </row>
    <row r="24" spans="2:5">
      <c r="C24" s="61">
        <v>5672</v>
      </c>
      <c r="D24" s="79" t="s">
        <v>553</v>
      </c>
      <c r="E24" s="61"/>
    </row>
    <row r="25" spans="2:5">
      <c r="C25" s="60"/>
      <c r="D25" s="78"/>
      <c r="E25" s="61"/>
    </row>
    <row r="26" spans="2:5">
      <c r="B26" s="60" t="s">
        <v>493</v>
      </c>
      <c r="C26" s="60" t="s">
        <v>552</v>
      </c>
    </row>
    <row r="27" spans="2:5">
      <c r="B27" s="60" t="s">
        <v>223</v>
      </c>
      <c r="C27" s="60" t="s">
        <v>560</v>
      </c>
    </row>
    <row r="28" spans="2:5">
      <c r="B28" s="60" t="s">
        <v>157</v>
      </c>
    </row>
    <row r="29" spans="2:5" ht="13">
      <c r="C29" s="63" t="s">
        <v>280</v>
      </c>
    </row>
    <row r="30" spans="2:5">
      <c r="C30" s="60" t="s">
        <v>325</v>
      </c>
    </row>
    <row r="31" spans="2:5">
      <c r="C31" s="60" t="s">
        <v>527</v>
      </c>
    </row>
    <row r="33" spans="3:8" ht="13">
      <c r="C33" s="63" t="s">
        <v>255</v>
      </c>
    </row>
    <row r="36" spans="3:8" ht="13">
      <c r="C36" s="63" t="s">
        <v>282</v>
      </c>
    </row>
    <row r="37" spans="3:8" ht="13">
      <c r="C37" s="60" t="s">
        <v>281</v>
      </c>
      <c r="H37" s="63"/>
    </row>
    <row r="39" spans="3:8" ht="13">
      <c r="C39" s="63" t="s">
        <v>405</v>
      </c>
    </row>
    <row r="40" spans="3:8">
      <c r="C40" s="60" t="s">
        <v>347</v>
      </c>
    </row>
    <row r="41" spans="3:8">
      <c r="C41" s="60" t="s">
        <v>406</v>
      </c>
    </row>
    <row r="42" spans="3:8">
      <c r="C42" s="73" t="s">
        <v>407</v>
      </c>
    </row>
    <row r="43" spans="3:8">
      <c r="C43" s="60" t="s">
        <v>293</v>
      </c>
    </row>
    <row r="64" spans="3:3" ht="13">
      <c r="C64" s="63" t="s">
        <v>292</v>
      </c>
    </row>
    <row r="65" spans="3:3">
      <c r="C65" s="60" t="s">
        <v>402</v>
      </c>
    </row>
    <row r="66" spans="3:3">
      <c r="C66" s="60" t="s">
        <v>427</v>
      </c>
    </row>
    <row r="69" spans="3:3" ht="13">
      <c r="C69" s="63" t="s">
        <v>510</v>
      </c>
    </row>
    <row r="70" spans="3:3">
      <c r="C70" s="60" t="s">
        <v>516</v>
      </c>
    </row>
    <row r="71" spans="3:3">
      <c r="C71" s="60" t="s">
        <v>517</v>
      </c>
    </row>
    <row r="74" spans="3:3" ht="13">
      <c r="C74" s="63" t="s">
        <v>494</v>
      </c>
    </row>
    <row r="75" spans="3:3">
      <c r="C75" s="60" t="s">
        <v>495</v>
      </c>
    </row>
    <row r="77" spans="3:3" ht="13">
      <c r="C77" s="63" t="s">
        <v>499</v>
      </c>
    </row>
    <row r="78" spans="3:3">
      <c r="C78" s="60" t="s">
        <v>496</v>
      </c>
    </row>
    <row r="79" spans="3:3">
      <c r="C79" s="60" t="s">
        <v>497</v>
      </c>
    </row>
    <row r="80" spans="3:3">
      <c r="C80" s="60" t="s">
        <v>498</v>
      </c>
    </row>
    <row r="82" spans="3:3" ht="13">
      <c r="C82" s="63" t="s">
        <v>500</v>
      </c>
    </row>
    <row r="87" spans="3:3" ht="13">
      <c r="C87" s="63" t="s">
        <v>529</v>
      </c>
    </row>
    <row r="88" spans="3:3">
      <c r="C88" s="60" t="s">
        <v>530</v>
      </c>
    </row>
    <row r="89" spans="3:3">
      <c r="C89" s="60" t="s">
        <v>528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>
      <selection activeCell="F4" sqref="F4"/>
    </sheetView>
  </sheetViews>
  <sheetFormatPr defaultRowHeight="12.5"/>
  <cols>
    <col min="1" max="1" width="4.726562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493</v>
      </c>
      <c r="C4" s="60" t="s">
        <v>563</v>
      </c>
    </row>
    <row r="5" spans="1:5">
      <c r="B5" s="60"/>
      <c r="C5" s="60" t="s">
        <v>567</v>
      </c>
    </row>
    <row r="6" spans="1:5">
      <c r="B6" s="60"/>
      <c r="C6" s="60"/>
      <c r="D6" s="60" t="s">
        <v>568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561</v>
      </c>
    </row>
    <row r="10" spans="1:5" ht="13">
      <c r="C10" s="81"/>
      <c r="D10" s="60"/>
      <c r="E10" s="60" t="s">
        <v>562</v>
      </c>
    </row>
    <row r="11" spans="1:5" ht="13">
      <c r="C11" s="81"/>
      <c r="D11" s="60" t="s">
        <v>565</v>
      </c>
      <c r="E11" s="60"/>
    </row>
    <row r="12" spans="1:5" ht="13">
      <c r="C12" s="62" t="s">
        <v>564</v>
      </c>
    </row>
    <row r="13" spans="1:5">
      <c r="D13" s="60" t="s">
        <v>566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291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380</v>
      </c>
    </row>
    <row r="10" spans="1:3">
      <c r="C10" s="60" t="s">
        <v>444</v>
      </c>
    </row>
    <row r="11" spans="1:3">
      <c r="C11" s="60" t="s">
        <v>502</v>
      </c>
    </row>
    <row r="12" spans="1:3">
      <c r="C12" s="60" t="s">
        <v>539</v>
      </c>
    </row>
    <row r="13" spans="1:3">
      <c r="B13" s="60" t="s">
        <v>230</v>
      </c>
      <c r="C13" s="60" t="s">
        <v>266</v>
      </c>
    </row>
    <row r="14" spans="1:3">
      <c r="B14" s="60" t="s">
        <v>365</v>
      </c>
      <c r="C14" s="60" t="s">
        <v>366</v>
      </c>
    </row>
    <row r="15" spans="1:3">
      <c r="B15" s="60" t="s">
        <v>157</v>
      </c>
    </row>
    <row r="16" spans="1:3" ht="13">
      <c r="C16" s="63" t="s">
        <v>292</v>
      </c>
    </row>
    <row r="17" spans="3:4">
      <c r="C17" s="60" t="s">
        <v>402</v>
      </c>
    </row>
    <row r="18" spans="3:4">
      <c r="C18" s="60" t="s">
        <v>427</v>
      </c>
    </row>
    <row r="21" spans="3:4" ht="13">
      <c r="C21" s="63" t="s">
        <v>405</v>
      </c>
      <c r="D21"/>
    </row>
    <row r="22" spans="3:4">
      <c r="C22" s="60" t="s">
        <v>347</v>
      </c>
      <c r="D22"/>
    </row>
    <row r="23" spans="3:4">
      <c r="C23" s="60" t="s">
        <v>406</v>
      </c>
      <c r="D23"/>
    </row>
    <row r="24" spans="3:4">
      <c r="C24" s="73" t="s">
        <v>407</v>
      </c>
      <c r="D24"/>
    </row>
    <row r="25" spans="3:4">
      <c r="C25" s="60" t="s">
        <v>445</v>
      </c>
      <c r="D25"/>
    </row>
    <row r="27" spans="3:4" ht="13">
      <c r="C27" s="63" t="s">
        <v>345</v>
      </c>
    </row>
    <row r="28" spans="3:4">
      <c r="C28" s="60" t="s">
        <v>344</v>
      </c>
    </row>
    <row r="29" spans="3:4">
      <c r="C29" s="60" t="s">
        <v>346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486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273</v>
      </c>
    </row>
    <row r="6" spans="1:3">
      <c r="B6" s="60" t="s">
        <v>338</v>
      </c>
      <c r="C6" s="60" t="s">
        <v>339</v>
      </c>
    </row>
    <row r="7" spans="1:3">
      <c r="B7" s="60" t="s">
        <v>323</v>
      </c>
      <c r="C7" s="60" t="s">
        <v>467</v>
      </c>
    </row>
    <row r="8" spans="1:3">
      <c r="B8" s="60"/>
      <c r="C8" s="60" t="s">
        <v>466</v>
      </c>
    </row>
    <row r="9" spans="1:3">
      <c r="B9" s="60" t="s">
        <v>157</v>
      </c>
    </row>
    <row r="10" spans="1:3" ht="13">
      <c r="C10" s="63" t="s">
        <v>446</v>
      </c>
    </row>
    <row r="11" spans="1:3">
      <c r="C11" s="60" t="s">
        <v>447</v>
      </c>
    </row>
    <row r="12" spans="1:3">
      <c r="C12" s="60" t="s">
        <v>448</v>
      </c>
    </row>
    <row r="14" spans="1:3" ht="13">
      <c r="C14" s="63" t="s">
        <v>322</v>
      </c>
    </row>
    <row r="15" spans="1:3">
      <c r="C15" s="60"/>
    </row>
    <row r="16" spans="1:3">
      <c r="C16" s="60"/>
    </row>
    <row r="17" spans="3:3" ht="13">
      <c r="C17" s="63" t="s">
        <v>367</v>
      </c>
    </row>
    <row r="18" spans="3:3">
      <c r="C18" s="60" t="s">
        <v>376</v>
      </c>
    </row>
    <row r="19" spans="3:3">
      <c r="C19" s="60"/>
    </row>
    <row r="20" spans="3:3">
      <c r="C20" s="60"/>
    </row>
    <row r="21" spans="3:3" ht="13">
      <c r="C21" s="63" t="s">
        <v>403</v>
      </c>
    </row>
    <row r="22" spans="3:3">
      <c r="C22" s="60" t="s">
        <v>404</v>
      </c>
    </row>
    <row r="25" spans="3:3" ht="13">
      <c r="C25" s="63" t="s">
        <v>531</v>
      </c>
    </row>
    <row r="26" spans="3:3">
      <c r="C26" s="60" t="s">
        <v>532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328</v>
      </c>
    </row>
    <row r="3" spans="1:3">
      <c r="B3" s="60" t="s">
        <v>217</v>
      </c>
      <c r="C3" s="60" t="s">
        <v>505</v>
      </c>
    </row>
    <row r="4" spans="1:3">
      <c r="B4" s="60" t="s">
        <v>5</v>
      </c>
      <c r="C4" s="60" t="s">
        <v>506</v>
      </c>
    </row>
    <row r="5" spans="1:3">
      <c r="B5" s="60" t="s">
        <v>157</v>
      </c>
    </row>
    <row r="6" spans="1:3" ht="13">
      <c r="C6" s="63" t="s">
        <v>507</v>
      </c>
    </row>
    <row r="7" spans="1:3">
      <c r="C7" s="60" t="s">
        <v>508</v>
      </c>
    </row>
    <row r="8" spans="1:3">
      <c r="C8" s="60" t="s">
        <v>509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2025-07-30T14:45:15Z</dcterms:modified>
  <cp:category/>
  <cp:contentStatus/>
</cp:coreProperties>
</file>